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filterPrivacy="1" updateLinks="always" codeName="ThisWorkbook"/>
  <bookViews>
    <workbookView xWindow="0" yWindow="0" windowWidth="11970" windowHeight="4110" tabRatio="969" activeTab="2"/>
  </bookViews>
  <sheets>
    <sheet name="SPREAD" sheetId="3" r:id="rId1"/>
    <sheet name="CRP" sheetId="4" r:id="rId2"/>
    <sheet name="MODEL" sheetId="1" r:id="rId3"/>
  </sheets>
  <externalReferences>
    <externalReference r:id="rId4"/>
  </externalReferences>
  <calcPr calcId="171027" calcMode="autoNoTable" iterate="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94" i="1" l="1"/>
  <c r="B563" i="1"/>
  <c r="B564" i="1"/>
  <c r="B897" i="1"/>
  <c r="B558" i="1"/>
  <c r="B550" i="1"/>
  <c r="B752" i="1"/>
  <c r="B751" i="1"/>
  <c r="B893" i="1"/>
  <c r="B548" i="1"/>
  <c r="B642" i="1"/>
  <c r="B648" i="1"/>
  <c r="B655" i="1"/>
  <c r="B656" i="1"/>
  <c r="B657" i="1"/>
  <c r="B658" i="1"/>
  <c r="B659" i="1"/>
  <c r="B652" i="1"/>
  <c r="B660" i="1"/>
  <c r="B651" i="1"/>
  <c r="B646" i="1"/>
  <c r="B645" i="1"/>
  <c r="B654" i="1"/>
  <c r="B644" i="1"/>
  <c r="B705" i="1"/>
  <c r="B716" i="1"/>
  <c r="B717" i="1"/>
  <c r="B718" i="1"/>
  <c r="B719" i="1"/>
  <c r="B720" i="1"/>
  <c r="B721" i="1"/>
  <c r="B722" i="1"/>
  <c r="B723" i="1"/>
  <c r="B724" i="1"/>
  <c r="B725" i="1"/>
  <c r="B726" i="1"/>
  <c r="B714" i="1"/>
  <c r="B711" i="1"/>
  <c r="B709" i="1"/>
  <c r="A192" i="1"/>
  <c r="A206" i="1"/>
  <c r="A220" i="1"/>
  <c r="A234" i="1"/>
  <c r="A248" i="1"/>
  <c r="A262" i="1"/>
  <c r="A276" i="1"/>
  <c r="A290" i="1"/>
  <c r="A304" i="1"/>
  <c r="A318" i="1"/>
  <c r="A332" i="1"/>
  <c r="A346" i="1"/>
  <c r="B160" i="1"/>
  <c r="B346" i="1"/>
  <c r="B318" i="1"/>
  <c r="B304" i="1"/>
  <c r="B60" i="1"/>
  <c r="A360" i="1"/>
  <c r="A374" i="1"/>
  <c r="B374" i="1"/>
  <c r="B360" i="1"/>
  <c r="A165" i="1"/>
  <c r="A193" i="1"/>
  <c r="A207" i="1"/>
  <c r="A221" i="1"/>
  <c r="A235" i="1"/>
  <c r="A249" i="1"/>
  <c r="A263" i="1"/>
  <c r="A277" i="1"/>
  <c r="A291" i="1"/>
  <c r="A305" i="1"/>
  <c r="A319" i="1"/>
  <c r="A333" i="1"/>
  <c r="A347" i="1"/>
  <c r="A361" i="1"/>
  <c r="B361" i="1"/>
  <c r="A375" i="1"/>
  <c r="A389" i="1"/>
  <c r="B389" i="1"/>
  <c r="B375" i="1"/>
  <c r="B347" i="1"/>
  <c r="B332" i="1"/>
  <c r="B161" i="1"/>
  <c r="B319" i="1"/>
  <c r="B305" i="1"/>
  <c r="B291" i="1"/>
  <c r="B277" i="1"/>
  <c r="B193" i="1"/>
  <c r="B815" i="1"/>
  <c r="B192" i="1"/>
  <c r="A179" i="1"/>
  <c r="B179" i="1"/>
  <c r="B58" i="1"/>
  <c r="M668" i="1"/>
  <c r="M672" i="1"/>
  <c r="M642" i="1"/>
  <c r="M751" i="1"/>
  <c r="M897" i="1"/>
  <c r="M558" i="1"/>
  <c r="M894" i="1"/>
  <c r="M563" i="1"/>
  <c r="M564" i="1"/>
  <c r="M550" i="1"/>
  <c r="M752" i="1"/>
  <c r="M893" i="1"/>
  <c r="M548" i="1"/>
  <c r="M655" i="1"/>
  <c r="M656" i="1"/>
  <c r="M657" i="1"/>
  <c r="M658" i="1"/>
  <c r="M659" i="1"/>
  <c r="M652" i="1"/>
  <c r="M648" i="1"/>
  <c r="M660" i="1"/>
  <c r="M651" i="1"/>
  <c r="M646" i="1"/>
  <c r="M554" i="1"/>
  <c r="M645" i="1"/>
  <c r="M654" i="1"/>
  <c r="M644" i="1"/>
  <c r="M555" i="1"/>
  <c r="M553" i="1"/>
  <c r="M899" i="1"/>
  <c r="L668" i="1"/>
  <c r="L672" i="1"/>
  <c r="L642" i="1"/>
  <c r="L564" i="1"/>
  <c r="L897" i="1"/>
  <c r="L558" i="1"/>
  <c r="L894" i="1"/>
  <c r="L563" i="1"/>
  <c r="L550" i="1"/>
  <c r="L752" i="1"/>
  <c r="L751" i="1"/>
  <c r="L893" i="1"/>
  <c r="L548" i="1"/>
  <c r="L655" i="1"/>
  <c r="L656" i="1"/>
  <c r="L657" i="1"/>
  <c r="L658" i="1"/>
  <c r="L659" i="1"/>
  <c r="L652" i="1"/>
  <c r="L648" i="1"/>
  <c r="L660" i="1"/>
  <c r="L651" i="1"/>
  <c r="L646" i="1"/>
  <c r="L554" i="1"/>
  <c r="L654" i="1"/>
  <c r="L645" i="1"/>
  <c r="L644" i="1"/>
  <c r="L555" i="1"/>
  <c r="L553" i="1"/>
  <c r="L899" i="1"/>
  <c r="K668" i="1"/>
  <c r="K672" i="1"/>
  <c r="K642" i="1"/>
  <c r="K751" i="1"/>
  <c r="K897" i="1"/>
  <c r="K558" i="1"/>
  <c r="K894" i="1"/>
  <c r="K563" i="1"/>
  <c r="K564" i="1"/>
  <c r="K550" i="1"/>
  <c r="K752" i="1"/>
  <c r="K893" i="1"/>
  <c r="K548" i="1"/>
  <c r="K655" i="1"/>
  <c r="K656" i="1"/>
  <c r="K657" i="1"/>
  <c r="K658" i="1"/>
  <c r="K659" i="1"/>
  <c r="K652" i="1"/>
  <c r="K648" i="1"/>
  <c r="K660" i="1"/>
  <c r="K651" i="1"/>
  <c r="K646" i="1"/>
  <c r="K554" i="1"/>
  <c r="K654" i="1"/>
  <c r="K645" i="1"/>
  <c r="K644" i="1"/>
  <c r="K555" i="1"/>
  <c r="K553" i="1"/>
  <c r="K899" i="1"/>
  <c r="J668" i="1"/>
  <c r="J672" i="1"/>
  <c r="J642" i="1"/>
  <c r="J751" i="1"/>
  <c r="J897" i="1"/>
  <c r="J558" i="1"/>
  <c r="J894" i="1"/>
  <c r="J563" i="1"/>
  <c r="J564" i="1"/>
  <c r="J550" i="1"/>
  <c r="J752" i="1"/>
  <c r="J893" i="1"/>
  <c r="J548" i="1"/>
  <c r="J655" i="1"/>
  <c r="J656" i="1"/>
  <c r="J657" i="1"/>
  <c r="J658" i="1"/>
  <c r="J659" i="1"/>
  <c r="J652" i="1"/>
  <c r="J648" i="1"/>
  <c r="J660" i="1"/>
  <c r="J651" i="1"/>
  <c r="J646" i="1"/>
  <c r="J554" i="1"/>
  <c r="J654" i="1"/>
  <c r="J645" i="1"/>
  <c r="J644" i="1"/>
  <c r="J555" i="1"/>
  <c r="J553" i="1"/>
  <c r="J899" i="1"/>
  <c r="M896" i="1"/>
  <c r="L896" i="1"/>
  <c r="K896" i="1"/>
  <c r="J896" i="1"/>
  <c r="M762" i="1"/>
  <c r="L762" i="1"/>
  <c r="K762" i="1"/>
  <c r="J762" i="1"/>
  <c r="M757" i="1"/>
  <c r="L757" i="1"/>
  <c r="K757" i="1"/>
  <c r="J757" i="1"/>
  <c r="M160" i="1"/>
  <c r="M374" i="1"/>
  <c r="M389" i="1"/>
  <c r="M375" i="1"/>
  <c r="M291" i="1"/>
  <c r="M277" i="1"/>
  <c r="M705" i="1"/>
  <c r="M716" i="1"/>
  <c r="M717" i="1"/>
  <c r="M718" i="1"/>
  <c r="M719" i="1"/>
  <c r="M720" i="1"/>
  <c r="M721" i="1"/>
  <c r="M722" i="1"/>
  <c r="M723" i="1"/>
  <c r="M724" i="1"/>
  <c r="M725" i="1"/>
  <c r="M726" i="1"/>
  <c r="M714" i="1"/>
  <c r="M711" i="1"/>
  <c r="M709" i="1"/>
  <c r="M346" i="1"/>
  <c r="M360" i="1"/>
  <c r="M361" i="1"/>
  <c r="M347" i="1"/>
  <c r="M332" i="1"/>
  <c r="M318" i="1"/>
  <c r="M161" i="1"/>
  <c r="M319" i="1"/>
  <c r="M305" i="1"/>
  <c r="M815" i="1"/>
  <c r="L160" i="1"/>
  <c r="L374" i="1"/>
  <c r="L389" i="1"/>
  <c r="L375" i="1"/>
  <c r="L291" i="1"/>
  <c r="L277" i="1"/>
  <c r="L705" i="1"/>
  <c r="L716" i="1"/>
  <c r="L717" i="1"/>
  <c r="L718" i="1"/>
  <c r="L719" i="1"/>
  <c r="L720" i="1"/>
  <c r="L721" i="1"/>
  <c r="L722" i="1"/>
  <c r="L723" i="1"/>
  <c r="L724" i="1"/>
  <c r="L725" i="1"/>
  <c r="L726" i="1"/>
  <c r="L714" i="1"/>
  <c r="L711" i="1"/>
  <c r="L709" i="1"/>
  <c r="L346" i="1"/>
  <c r="L360" i="1"/>
  <c r="L361" i="1"/>
  <c r="L347" i="1"/>
  <c r="L332" i="1"/>
  <c r="L318" i="1"/>
  <c r="L161" i="1"/>
  <c r="L319" i="1"/>
  <c r="L305" i="1"/>
  <c r="L815" i="1"/>
  <c r="K160" i="1"/>
  <c r="K374" i="1"/>
  <c r="K389" i="1"/>
  <c r="K375" i="1"/>
  <c r="K291" i="1"/>
  <c r="K277" i="1"/>
  <c r="K705" i="1"/>
  <c r="K716" i="1"/>
  <c r="K717" i="1"/>
  <c r="K718" i="1"/>
  <c r="K719" i="1"/>
  <c r="K720" i="1"/>
  <c r="K721" i="1"/>
  <c r="K722" i="1"/>
  <c r="K723" i="1"/>
  <c r="K724" i="1"/>
  <c r="K725" i="1"/>
  <c r="K726" i="1"/>
  <c r="K714" i="1"/>
  <c r="K711" i="1"/>
  <c r="K709" i="1"/>
  <c r="K346" i="1"/>
  <c r="K360" i="1"/>
  <c r="K361" i="1"/>
  <c r="K347" i="1"/>
  <c r="K332" i="1"/>
  <c r="K318" i="1"/>
  <c r="K161" i="1"/>
  <c r="K319" i="1"/>
  <c r="K305" i="1"/>
  <c r="K815" i="1"/>
  <c r="J160" i="1"/>
  <c r="J374" i="1"/>
  <c r="J389" i="1"/>
  <c r="J375" i="1"/>
  <c r="J291" i="1"/>
  <c r="J277" i="1"/>
  <c r="J705" i="1"/>
  <c r="J716" i="1"/>
  <c r="J717" i="1"/>
  <c r="J718" i="1"/>
  <c r="J719" i="1"/>
  <c r="J720" i="1"/>
  <c r="J721" i="1"/>
  <c r="J722" i="1"/>
  <c r="J723" i="1"/>
  <c r="J724" i="1"/>
  <c r="J725" i="1"/>
  <c r="J726" i="1"/>
  <c r="J714" i="1"/>
  <c r="J711" i="1"/>
  <c r="J709" i="1"/>
  <c r="J346" i="1"/>
  <c r="J360" i="1"/>
  <c r="J361" i="1"/>
  <c r="J347" i="1"/>
  <c r="J332" i="1"/>
  <c r="J318" i="1"/>
  <c r="J161" i="1"/>
  <c r="J319" i="1"/>
  <c r="J305" i="1"/>
  <c r="J815" i="1"/>
  <c r="M680" i="1"/>
  <c r="M604" i="1"/>
  <c r="M603" i="1"/>
  <c r="M601" i="1"/>
  <c r="M612" i="1"/>
  <c r="M618" i="1"/>
  <c r="M607" i="1"/>
  <c r="M629" i="1"/>
  <c r="M622" i="1"/>
  <c r="M625" i="1"/>
  <c r="M623" i="1"/>
  <c r="M627" i="1"/>
  <c r="L680" i="1"/>
  <c r="L604" i="1"/>
  <c r="L603" i="1"/>
  <c r="L601" i="1"/>
  <c r="L612" i="1"/>
  <c r="L618" i="1"/>
  <c r="L607" i="1"/>
  <c r="L629" i="1"/>
  <c r="L622" i="1"/>
  <c r="L625" i="1"/>
  <c r="L623" i="1"/>
  <c r="L627" i="1"/>
  <c r="K680" i="1"/>
  <c r="K604" i="1"/>
  <c r="K603" i="1"/>
  <c r="K601" i="1"/>
  <c r="K612" i="1"/>
  <c r="K618" i="1"/>
  <c r="K607" i="1"/>
  <c r="K629" i="1"/>
  <c r="K622" i="1"/>
  <c r="K625" i="1"/>
  <c r="K623" i="1"/>
  <c r="K627" i="1"/>
  <c r="J680" i="1"/>
  <c r="J604" i="1"/>
  <c r="J603" i="1"/>
  <c r="J601" i="1"/>
  <c r="J612" i="1"/>
  <c r="J618" i="1"/>
  <c r="J607" i="1"/>
  <c r="J629" i="1"/>
  <c r="J622" i="1"/>
  <c r="J625" i="1"/>
  <c r="J623" i="1"/>
  <c r="J627" i="1"/>
  <c r="M802" i="1"/>
  <c r="L802" i="1"/>
  <c r="K802" i="1"/>
  <c r="J802" i="1"/>
  <c r="M800" i="1"/>
  <c r="L800" i="1"/>
  <c r="K800" i="1"/>
  <c r="J800" i="1"/>
  <c r="M547" i="1"/>
  <c r="M424" i="1"/>
  <c r="L547" i="1"/>
  <c r="L424" i="1"/>
  <c r="K547" i="1"/>
  <c r="K424" i="1"/>
  <c r="J547" i="1"/>
  <c r="J424" i="1"/>
  <c r="M557" i="1"/>
  <c r="M551" i="1"/>
  <c r="M753" i="1"/>
  <c r="L557" i="1"/>
  <c r="L551" i="1"/>
  <c r="L753" i="1"/>
  <c r="K557" i="1"/>
  <c r="K551" i="1"/>
  <c r="K753" i="1"/>
  <c r="J557" i="1"/>
  <c r="J551" i="1"/>
  <c r="J753" i="1"/>
  <c r="M744" i="1"/>
  <c r="L744" i="1"/>
  <c r="K744" i="1"/>
  <c r="J744" i="1"/>
  <c r="M743" i="1"/>
  <c r="L743" i="1"/>
  <c r="K743" i="1"/>
  <c r="J743" i="1"/>
  <c r="M742" i="1"/>
  <c r="L742" i="1"/>
  <c r="K742" i="1"/>
  <c r="J742" i="1"/>
  <c r="M738" i="1"/>
  <c r="L738" i="1"/>
  <c r="K738" i="1"/>
  <c r="J738" i="1"/>
  <c r="M737" i="1"/>
  <c r="L737" i="1"/>
  <c r="K737" i="1"/>
  <c r="J737" i="1"/>
  <c r="M736" i="1"/>
  <c r="L736" i="1"/>
  <c r="K736" i="1"/>
  <c r="J736" i="1"/>
  <c r="M732" i="1"/>
  <c r="L732" i="1"/>
  <c r="K732" i="1"/>
  <c r="J732" i="1"/>
  <c r="M731" i="1"/>
  <c r="L731" i="1"/>
  <c r="K731" i="1"/>
  <c r="J731" i="1"/>
  <c r="M730" i="1"/>
  <c r="L730" i="1"/>
  <c r="K730" i="1"/>
  <c r="J730" i="1"/>
  <c r="M713" i="1"/>
  <c r="L713" i="1"/>
  <c r="K713" i="1"/>
  <c r="J713" i="1"/>
  <c r="M708" i="1"/>
  <c r="L708" i="1"/>
  <c r="K708" i="1"/>
  <c r="J708" i="1"/>
  <c r="M707" i="1"/>
  <c r="L707" i="1"/>
  <c r="K707" i="1"/>
  <c r="J707" i="1"/>
  <c r="M701" i="1"/>
  <c r="L701" i="1"/>
  <c r="K701" i="1"/>
  <c r="J701" i="1"/>
  <c r="M700" i="1"/>
  <c r="L700" i="1"/>
  <c r="K700" i="1"/>
  <c r="J700" i="1"/>
  <c r="M699" i="1"/>
  <c r="L699" i="1"/>
  <c r="K699" i="1"/>
  <c r="J699" i="1"/>
  <c r="M695" i="1"/>
  <c r="L695" i="1"/>
  <c r="K695" i="1"/>
  <c r="J695" i="1"/>
  <c r="M693" i="1"/>
  <c r="L693" i="1"/>
  <c r="K693" i="1"/>
  <c r="J693" i="1"/>
  <c r="M692" i="1"/>
  <c r="L692" i="1"/>
  <c r="K692" i="1"/>
  <c r="J692" i="1"/>
  <c r="M691" i="1"/>
  <c r="L691" i="1"/>
  <c r="K691" i="1"/>
  <c r="J691" i="1"/>
  <c r="M690" i="1"/>
  <c r="L690" i="1"/>
  <c r="K690" i="1"/>
  <c r="J690" i="1"/>
  <c r="M688" i="1"/>
  <c r="L688" i="1"/>
  <c r="K688" i="1"/>
  <c r="J688" i="1"/>
  <c r="M687" i="1"/>
  <c r="L687" i="1"/>
  <c r="K687" i="1"/>
  <c r="J687" i="1"/>
  <c r="M685" i="1"/>
  <c r="L685" i="1"/>
  <c r="K685" i="1"/>
  <c r="J685" i="1"/>
  <c r="M684" i="1"/>
  <c r="L684" i="1"/>
  <c r="K684" i="1"/>
  <c r="J684" i="1"/>
  <c r="M683" i="1"/>
  <c r="L683" i="1"/>
  <c r="K683" i="1"/>
  <c r="J683" i="1"/>
  <c r="M681" i="1"/>
  <c r="L681" i="1"/>
  <c r="K681" i="1"/>
  <c r="J681" i="1"/>
  <c r="M678" i="1"/>
  <c r="L678" i="1"/>
  <c r="K678" i="1"/>
  <c r="J678" i="1"/>
  <c r="M677" i="1"/>
  <c r="L677" i="1"/>
  <c r="K677" i="1"/>
  <c r="J677" i="1"/>
  <c r="M676" i="1"/>
  <c r="L676" i="1"/>
  <c r="K676" i="1"/>
  <c r="J676" i="1"/>
  <c r="M675" i="1"/>
  <c r="L675" i="1"/>
  <c r="K675" i="1"/>
  <c r="J675" i="1"/>
  <c r="M673" i="1"/>
  <c r="L673" i="1"/>
  <c r="K673" i="1"/>
  <c r="J673" i="1"/>
  <c r="M669" i="1"/>
  <c r="L669" i="1"/>
  <c r="K669" i="1"/>
  <c r="J669" i="1"/>
  <c r="M666" i="1"/>
  <c r="L666" i="1"/>
  <c r="K666" i="1"/>
  <c r="J666" i="1"/>
  <c r="M665" i="1"/>
  <c r="L665" i="1"/>
  <c r="K665" i="1"/>
  <c r="J665" i="1"/>
  <c r="M663" i="1"/>
  <c r="L663" i="1"/>
  <c r="K663" i="1"/>
  <c r="J663" i="1"/>
  <c r="M649" i="1"/>
  <c r="L649" i="1"/>
  <c r="K649" i="1"/>
  <c r="J649" i="1"/>
  <c r="M643" i="1"/>
  <c r="L643" i="1"/>
  <c r="K643" i="1"/>
  <c r="J643" i="1"/>
  <c r="M639" i="1"/>
  <c r="L639" i="1"/>
  <c r="K639" i="1"/>
  <c r="J639" i="1"/>
  <c r="M638" i="1"/>
  <c r="L638" i="1"/>
  <c r="K638" i="1"/>
  <c r="J638" i="1"/>
  <c r="M637" i="1"/>
  <c r="L637" i="1"/>
  <c r="K637" i="1"/>
  <c r="J637" i="1"/>
  <c r="M636" i="1"/>
  <c r="L636" i="1"/>
  <c r="K636" i="1"/>
  <c r="J636" i="1"/>
  <c r="M635" i="1"/>
  <c r="L635" i="1"/>
  <c r="K635" i="1"/>
  <c r="J635" i="1"/>
  <c r="M634" i="1"/>
  <c r="L634" i="1"/>
  <c r="K634" i="1"/>
  <c r="J634" i="1"/>
  <c r="M631" i="1"/>
  <c r="L631" i="1"/>
  <c r="K631" i="1"/>
  <c r="J631" i="1"/>
  <c r="M606" i="1"/>
  <c r="M628" i="1"/>
  <c r="L606" i="1"/>
  <c r="L628" i="1"/>
  <c r="K606" i="1"/>
  <c r="K628" i="1"/>
  <c r="J606" i="1"/>
  <c r="J628" i="1"/>
  <c r="M624" i="1"/>
  <c r="L624" i="1"/>
  <c r="K624" i="1"/>
  <c r="J624" i="1"/>
  <c r="M621" i="1"/>
  <c r="L621" i="1"/>
  <c r="K621" i="1"/>
  <c r="J621" i="1"/>
  <c r="M609" i="1"/>
  <c r="L609" i="1"/>
  <c r="K609" i="1"/>
  <c r="J609" i="1"/>
  <c r="M598" i="1"/>
  <c r="L598" i="1"/>
  <c r="K598" i="1"/>
  <c r="J598" i="1"/>
  <c r="M597" i="1"/>
  <c r="L597" i="1"/>
  <c r="K597" i="1"/>
  <c r="J597" i="1"/>
  <c r="M596" i="1"/>
  <c r="L596" i="1"/>
  <c r="K596" i="1"/>
  <c r="J596" i="1"/>
  <c r="M595" i="1"/>
  <c r="L595" i="1"/>
  <c r="K595" i="1"/>
  <c r="J595" i="1"/>
  <c r="M592" i="1"/>
  <c r="L592" i="1"/>
  <c r="K592" i="1"/>
  <c r="J592" i="1"/>
  <c r="M591" i="1"/>
  <c r="L591" i="1"/>
  <c r="K591" i="1"/>
  <c r="J591" i="1"/>
  <c r="M590" i="1"/>
  <c r="L590" i="1"/>
  <c r="K590" i="1"/>
  <c r="J590" i="1"/>
  <c r="M589" i="1"/>
  <c r="L589" i="1"/>
  <c r="K589" i="1"/>
  <c r="J589" i="1"/>
  <c r="M588" i="1"/>
  <c r="L588" i="1"/>
  <c r="K588" i="1"/>
  <c r="J588" i="1"/>
  <c r="M587" i="1"/>
  <c r="L587" i="1"/>
  <c r="K587" i="1"/>
  <c r="J587" i="1"/>
  <c r="M586" i="1"/>
  <c r="L586" i="1"/>
  <c r="K586" i="1"/>
  <c r="J586" i="1"/>
  <c r="M585" i="1"/>
  <c r="L585" i="1"/>
  <c r="K585" i="1"/>
  <c r="J585" i="1"/>
  <c r="M582" i="1"/>
  <c r="L582" i="1"/>
  <c r="K582" i="1"/>
  <c r="J582" i="1"/>
  <c r="M581" i="1"/>
  <c r="L581" i="1"/>
  <c r="K581" i="1"/>
  <c r="J581" i="1"/>
  <c r="M576" i="1"/>
  <c r="L576" i="1"/>
  <c r="K576" i="1"/>
  <c r="J576" i="1"/>
  <c r="M572" i="1"/>
  <c r="L572" i="1"/>
  <c r="K572" i="1"/>
  <c r="J572" i="1"/>
  <c r="M571" i="1"/>
  <c r="L571" i="1"/>
  <c r="K571" i="1"/>
  <c r="J571" i="1"/>
  <c r="M561" i="1"/>
  <c r="L561" i="1"/>
  <c r="K561" i="1"/>
  <c r="J561" i="1"/>
  <c r="M560" i="1"/>
  <c r="L560" i="1"/>
  <c r="K560" i="1"/>
  <c r="J560" i="1"/>
  <c r="M546" i="1"/>
  <c r="L546" i="1"/>
  <c r="K546" i="1"/>
  <c r="J546" i="1"/>
  <c r="M543" i="1"/>
  <c r="L543" i="1"/>
  <c r="K543" i="1"/>
  <c r="J543" i="1"/>
  <c r="M540" i="1"/>
  <c r="L540" i="1"/>
  <c r="K540" i="1"/>
  <c r="J540" i="1"/>
  <c r="M539" i="1"/>
  <c r="L539" i="1"/>
  <c r="K539" i="1"/>
  <c r="J539" i="1"/>
  <c r="M538" i="1"/>
  <c r="L538" i="1"/>
  <c r="K538" i="1"/>
  <c r="J538" i="1"/>
  <c r="M537" i="1"/>
  <c r="L537" i="1"/>
  <c r="K537" i="1"/>
  <c r="J537" i="1"/>
  <c r="M536" i="1"/>
  <c r="L536" i="1"/>
  <c r="K536" i="1"/>
  <c r="J536" i="1"/>
  <c r="M535" i="1"/>
  <c r="L535" i="1"/>
  <c r="K535" i="1"/>
  <c r="J535" i="1"/>
  <c r="M534" i="1"/>
  <c r="L534" i="1"/>
  <c r="K534" i="1"/>
  <c r="J534" i="1"/>
  <c r="M533" i="1"/>
  <c r="L533" i="1"/>
  <c r="K533" i="1"/>
  <c r="J533" i="1"/>
  <c r="M532" i="1"/>
  <c r="L532" i="1"/>
  <c r="K532" i="1"/>
  <c r="J532" i="1"/>
  <c r="M531" i="1"/>
  <c r="L531" i="1"/>
  <c r="K531" i="1"/>
  <c r="J531" i="1"/>
  <c r="M530" i="1"/>
  <c r="L530" i="1"/>
  <c r="K530" i="1"/>
  <c r="J530" i="1"/>
  <c r="M528" i="1"/>
  <c r="L528" i="1"/>
  <c r="K528" i="1"/>
  <c r="J528" i="1"/>
  <c r="M527" i="1"/>
  <c r="L527" i="1"/>
  <c r="K527" i="1"/>
  <c r="J527" i="1"/>
  <c r="M526" i="1"/>
  <c r="L526" i="1"/>
  <c r="K526" i="1"/>
  <c r="J526" i="1"/>
  <c r="M525" i="1"/>
  <c r="L525" i="1"/>
  <c r="K525" i="1"/>
  <c r="J525" i="1"/>
  <c r="M524" i="1"/>
  <c r="L524" i="1"/>
  <c r="K524" i="1"/>
  <c r="J524" i="1"/>
  <c r="M523" i="1"/>
  <c r="L523" i="1"/>
  <c r="K523" i="1"/>
  <c r="J523" i="1"/>
  <c r="M522" i="1"/>
  <c r="L522" i="1"/>
  <c r="K522" i="1"/>
  <c r="J522" i="1"/>
  <c r="M521" i="1"/>
  <c r="L521" i="1"/>
  <c r="K521" i="1"/>
  <c r="J521" i="1"/>
  <c r="M520" i="1"/>
  <c r="L520" i="1"/>
  <c r="K520" i="1"/>
  <c r="J520" i="1"/>
  <c r="M519" i="1"/>
  <c r="L519" i="1"/>
  <c r="K519" i="1"/>
  <c r="J519" i="1"/>
  <c r="M516" i="1"/>
  <c r="L516" i="1"/>
  <c r="K516" i="1"/>
  <c r="J516" i="1"/>
  <c r="M515" i="1"/>
  <c r="L515" i="1"/>
  <c r="K515" i="1"/>
  <c r="J515" i="1"/>
  <c r="M514" i="1"/>
  <c r="L514" i="1"/>
  <c r="K514" i="1"/>
  <c r="J514" i="1"/>
  <c r="M513" i="1"/>
  <c r="L513" i="1"/>
  <c r="K513" i="1"/>
  <c r="J513" i="1"/>
  <c r="M512" i="1"/>
  <c r="L512" i="1"/>
  <c r="K512" i="1"/>
  <c r="J512" i="1"/>
  <c r="M511" i="1"/>
  <c r="L511" i="1"/>
  <c r="K511" i="1"/>
  <c r="J511" i="1"/>
  <c r="M510" i="1"/>
  <c r="L510" i="1"/>
  <c r="K510" i="1"/>
  <c r="J510" i="1"/>
  <c r="M509" i="1"/>
  <c r="L509" i="1"/>
  <c r="K509" i="1"/>
  <c r="J509" i="1"/>
  <c r="M508" i="1"/>
  <c r="L508" i="1"/>
  <c r="K508" i="1"/>
  <c r="J508" i="1"/>
  <c r="M507" i="1"/>
  <c r="L507" i="1"/>
  <c r="K507" i="1"/>
  <c r="J507" i="1"/>
  <c r="M506" i="1"/>
  <c r="L506" i="1"/>
  <c r="K506" i="1"/>
  <c r="J506" i="1"/>
  <c r="M504" i="1"/>
  <c r="L504" i="1"/>
  <c r="K504" i="1"/>
  <c r="J504" i="1"/>
  <c r="M503" i="1"/>
  <c r="L503" i="1"/>
  <c r="K503" i="1"/>
  <c r="J503" i="1"/>
  <c r="M502" i="1"/>
  <c r="L502" i="1"/>
  <c r="K502" i="1"/>
  <c r="J502" i="1"/>
  <c r="M501" i="1"/>
  <c r="L501" i="1"/>
  <c r="K501" i="1"/>
  <c r="J501" i="1"/>
  <c r="M500" i="1"/>
  <c r="L500" i="1"/>
  <c r="K500" i="1"/>
  <c r="J500" i="1"/>
  <c r="M499" i="1"/>
  <c r="L499" i="1"/>
  <c r="K499" i="1"/>
  <c r="J499" i="1"/>
  <c r="M498" i="1"/>
  <c r="L498" i="1"/>
  <c r="K498" i="1"/>
  <c r="J498" i="1"/>
  <c r="M497" i="1"/>
  <c r="L497" i="1"/>
  <c r="K497" i="1"/>
  <c r="J497" i="1"/>
  <c r="M496" i="1"/>
  <c r="L496" i="1"/>
  <c r="K496" i="1"/>
  <c r="J496" i="1"/>
  <c r="M495" i="1"/>
  <c r="L495" i="1"/>
  <c r="K495" i="1"/>
  <c r="J495" i="1"/>
  <c r="M493" i="1"/>
  <c r="L493" i="1"/>
  <c r="K493" i="1"/>
  <c r="J493" i="1"/>
  <c r="M490" i="1"/>
  <c r="L490" i="1"/>
  <c r="K490" i="1"/>
  <c r="J490" i="1"/>
  <c r="M489" i="1"/>
  <c r="L489" i="1"/>
  <c r="K489" i="1"/>
  <c r="J489" i="1"/>
  <c r="M488" i="1"/>
  <c r="L488" i="1"/>
  <c r="K488" i="1"/>
  <c r="J488" i="1"/>
  <c r="M487" i="1"/>
  <c r="L487" i="1"/>
  <c r="K487" i="1"/>
  <c r="J487" i="1"/>
  <c r="M486" i="1"/>
  <c r="L486" i="1"/>
  <c r="K486" i="1"/>
  <c r="J486" i="1"/>
  <c r="M485" i="1"/>
  <c r="L485" i="1"/>
  <c r="K485" i="1"/>
  <c r="J485" i="1"/>
  <c r="M484" i="1"/>
  <c r="L484" i="1"/>
  <c r="K484" i="1"/>
  <c r="J484" i="1"/>
  <c r="M483" i="1"/>
  <c r="L483" i="1"/>
  <c r="K483" i="1"/>
  <c r="J483" i="1"/>
  <c r="M482" i="1"/>
  <c r="L482" i="1"/>
  <c r="K482" i="1"/>
  <c r="J482" i="1"/>
  <c r="M481" i="1"/>
  <c r="L481" i="1"/>
  <c r="K481" i="1"/>
  <c r="J481" i="1"/>
  <c r="M480" i="1"/>
  <c r="L480" i="1"/>
  <c r="K480" i="1"/>
  <c r="J480" i="1"/>
  <c r="M478" i="1"/>
  <c r="L478" i="1"/>
  <c r="K478" i="1"/>
  <c r="J478" i="1"/>
  <c r="M477" i="1"/>
  <c r="L477" i="1"/>
  <c r="K477" i="1"/>
  <c r="J477" i="1"/>
  <c r="M476" i="1"/>
  <c r="L476" i="1"/>
  <c r="K476" i="1"/>
  <c r="J476" i="1"/>
  <c r="M475" i="1"/>
  <c r="L475" i="1"/>
  <c r="K475" i="1"/>
  <c r="J475" i="1"/>
  <c r="M474" i="1"/>
  <c r="L474" i="1"/>
  <c r="K474" i="1"/>
  <c r="J474" i="1"/>
  <c r="M473" i="1"/>
  <c r="L473" i="1"/>
  <c r="K473" i="1"/>
  <c r="J473" i="1"/>
  <c r="M472" i="1"/>
  <c r="L472" i="1"/>
  <c r="K472" i="1"/>
  <c r="J472" i="1"/>
  <c r="M471" i="1"/>
  <c r="L471" i="1"/>
  <c r="K471" i="1"/>
  <c r="J471" i="1"/>
  <c r="M470" i="1"/>
  <c r="L470" i="1"/>
  <c r="K470" i="1"/>
  <c r="J470" i="1"/>
  <c r="M469" i="1"/>
  <c r="L469" i="1"/>
  <c r="K469" i="1"/>
  <c r="J469" i="1"/>
  <c r="M466" i="1"/>
  <c r="L466" i="1"/>
  <c r="K466" i="1"/>
  <c r="J466" i="1"/>
  <c r="M465" i="1"/>
  <c r="L465" i="1"/>
  <c r="K465" i="1"/>
  <c r="J465" i="1"/>
  <c r="M464" i="1"/>
  <c r="L464" i="1"/>
  <c r="K464" i="1"/>
  <c r="J464" i="1"/>
  <c r="M463" i="1"/>
  <c r="L463" i="1"/>
  <c r="K463" i="1"/>
  <c r="J463" i="1"/>
  <c r="M462" i="1"/>
  <c r="L462" i="1"/>
  <c r="K462" i="1"/>
  <c r="J462" i="1"/>
  <c r="M461" i="1"/>
  <c r="L461" i="1"/>
  <c r="K461" i="1"/>
  <c r="J461" i="1"/>
  <c r="M460" i="1"/>
  <c r="L460" i="1"/>
  <c r="K460" i="1"/>
  <c r="J460" i="1"/>
  <c r="M459" i="1"/>
  <c r="L459" i="1"/>
  <c r="K459" i="1"/>
  <c r="J459" i="1"/>
  <c r="M458" i="1"/>
  <c r="L458" i="1"/>
  <c r="K458" i="1"/>
  <c r="J458" i="1"/>
  <c r="M457" i="1"/>
  <c r="L457" i="1"/>
  <c r="K457" i="1"/>
  <c r="J457" i="1"/>
  <c r="M456" i="1"/>
  <c r="L456" i="1"/>
  <c r="K456" i="1"/>
  <c r="J456" i="1"/>
  <c r="M454" i="1"/>
  <c r="L454" i="1"/>
  <c r="K454" i="1"/>
  <c r="J454" i="1"/>
  <c r="M453" i="1"/>
  <c r="L453" i="1"/>
  <c r="K453" i="1"/>
  <c r="J453" i="1"/>
  <c r="M452" i="1"/>
  <c r="L452" i="1"/>
  <c r="K452" i="1"/>
  <c r="J452" i="1"/>
  <c r="M451" i="1"/>
  <c r="L451" i="1"/>
  <c r="K451" i="1"/>
  <c r="J451" i="1"/>
  <c r="M450" i="1"/>
  <c r="L450" i="1"/>
  <c r="K450" i="1"/>
  <c r="J450" i="1"/>
  <c r="M449" i="1"/>
  <c r="L449" i="1"/>
  <c r="K449" i="1"/>
  <c r="J449" i="1"/>
  <c r="M448" i="1"/>
  <c r="L448" i="1"/>
  <c r="K448" i="1"/>
  <c r="J448" i="1"/>
  <c r="M447" i="1"/>
  <c r="L447" i="1"/>
  <c r="K447" i="1"/>
  <c r="J447" i="1"/>
  <c r="M446" i="1"/>
  <c r="L446" i="1"/>
  <c r="K446" i="1"/>
  <c r="J446" i="1"/>
  <c r="M445" i="1"/>
  <c r="L445" i="1"/>
  <c r="K445" i="1"/>
  <c r="J445" i="1"/>
  <c r="M444" i="1"/>
  <c r="L444" i="1"/>
  <c r="K444" i="1"/>
  <c r="J444" i="1"/>
  <c r="M442" i="1"/>
  <c r="L442" i="1"/>
  <c r="K442" i="1"/>
  <c r="J442" i="1"/>
  <c r="M441" i="1"/>
  <c r="L441" i="1"/>
  <c r="K441" i="1"/>
  <c r="J441" i="1"/>
  <c r="M440" i="1"/>
  <c r="L440" i="1"/>
  <c r="K440" i="1"/>
  <c r="J440" i="1"/>
  <c r="M439" i="1"/>
  <c r="L439" i="1"/>
  <c r="K439" i="1"/>
  <c r="J439" i="1"/>
  <c r="M438" i="1"/>
  <c r="L438" i="1"/>
  <c r="K438" i="1"/>
  <c r="J438" i="1"/>
  <c r="M437" i="1"/>
  <c r="L437" i="1"/>
  <c r="K437" i="1"/>
  <c r="J437" i="1"/>
  <c r="M436" i="1"/>
  <c r="L436" i="1"/>
  <c r="K436" i="1"/>
  <c r="J436" i="1"/>
  <c r="M435" i="1"/>
  <c r="L435" i="1"/>
  <c r="K435" i="1"/>
  <c r="J435" i="1"/>
  <c r="M434" i="1"/>
  <c r="L434" i="1"/>
  <c r="K434" i="1"/>
  <c r="J434" i="1"/>
  <c r="M433" i="1"/>
  <c r="L433" i="1"/>
  <c r="K433" i="1"/>
  <c r="J433" i="1"/>
  <c r="M431" i="1"/>
  <c r="L431" i="1"/>
  <c r="K431" i="1"/>
  <c r="J431" i="1"/>
  <c r="M429" i="1"/>
  <c r="L429" i="1"/>
  <c r="K429" i="1"/>
  <c r="J429" i="1"/>
  <c r="M418" i="1"/>
  <c r="L418" i="1"/>
  <c r="K418" i="1"/>
  <c r="J418" i="1"/>
  <c r="M416" i="1"/>
  <c r="L416" i="1"/>
  <c r="K416" i="1"/>
  <c r="J416" i="1"/>
  <c r="M414" i="1"/>
  <c r="L414" i="1"/>
  <c r="K414" i="1"/>
  <c r="J414" i="1"/>
  <c r="M412" i="1"/>
  <c r="L412" i="1"/>
  <c r="K412" i="1"/>
  <c r="J412" i="1"/>
  <c r="A166" i="1"/>
  <c r="A194" i="1"/>
  <c r="A208" i="1"/>
  <c r="A222" i="1"/>
  <c r="A236" i="1"/>
  <c r="A250" i="1"/>
  <c r="A264" i="1"/>
  <c r="A278" i="1"/>
  <c r="A292" i="1"/>
  <c r="A306" i="1"/>
  <c r="A320" i="1"/>
  <c r="A334" i="1"/>
  <c r="A348" i="1"/>
  <c r="A362" i="1"/>
  <c r="A376" i="1"/>
  <c r="A390" i="1"/>
  <c r="M390" i="1"/>
  <c r="A167" i="1"/>
  <c r="A195" i="1"/>
  <c r="A209" i="1"/>
  <c r="A223" i="1"/>
  <c r="A237" i="1"/>
  <c r="A251" i="1"/>
  <c r="A265" i="1"/>
  <c r="A279" i="1"/>
  <c r="A293" i="1"/>
  <c r="A307" i="1"/>
  <c r="A321" i="1"/>
  <c r="A335" i="1"/>
  <c r="A349" i="1"/>
  <c r="A363" i="1"/>
  <c r="A377" i="1"/>
  <c r="A391" i="1"/>
  <c r="M391" i="1"/>
  <c r="A168" i="1"/>
  <c r="A196" i="1"/>
  <c r="A210" i="1"/>
  <c r="A224" i="1"/>
  <c r="A238" i="1"/>
  <c r="A252" i="1"/>
  <c r="A266" i="1"/>
  <c r="A280" i="1"/>
  <c r="A294" i="1"/>
  <c r="A308" i="1"/>
  <c r="A322" i="1"/>
  <c r="A336" i="1"/>
  <c r="A350" i="1"/>
  <c r="A364" i="1"/>
  <c r="A378" i="1"/>
  <c r="A392" i="1"/>
  <c r="M392" i="1"/>
  <c r="A169" i="1"/>
  <c r="A197" i="1"/>
  <c r="A211" i="1"/>
  <c r="A225" i="1"/>
  <c r="A239" i="1"/>
  <c r="A253" i="1"/>
  <c r="A267" i="1"/>
  <c r="A281" i="1"/>
  <c r="A295" i="1"/>
  <c r="A309" i="1"/>
  <c r="A323" i="1"/>
  <c r="A337" i="1"/>
  <c r="A351" i="1"/>
  <c r="A365" i="1"/>
  <c r="A379" i="1"/>
  <c r="A393" i="1"/>
  <c r="M393" i="1"/>
  <c r="A170" i="1"/>
  <c r="A171" i="1"/>
  <c r="A172" i="1"/>
  <c r="A173" i="1"/>
  <c r="A174" i="1"/>
  <c r="A202" i="1"/>
  <c r="A216" i="1"/>
  <c r="A230" i="1"/>
  <c r="A244" i="1"/>
  <c r="A258" i="1"/>
  <c r="A272" i="1"/>
  <c r="A286" i="1"/>
  <c r="A300" i="1"/>
  <c r="A314" i="1"/>
  <c r="A328" i="1"/>
  <c r="A342" i="1"/>
  <c r="A356" i="1"/>
  <c r="A370" i="1"/>
  <c r="A384" i="1"/>
  <c r="A398" i="1"/>
  <c r="M398" i="1"/>
  <c r="L390" i="1"/>
  <c r="L391" i="1"/>
  <c r="L392" i="1"/>
  <c r="L393" i="1"/>
  <c r="L398" i="1"/>
  <c r="K390" i="1"/>
  <c r="K391" i="1"/>
  <c r="K392" i="1"/>
  <c r="K393" i="1"/>
  <c r="K398" i="1"/>
  <c r="J390" i="1"/>
  <c r="J391" i="1"/>
  <c r="J392" i="1"/>
  <c r="J393" i="1"/>
  <c r="J398" i="1"/>
  <c r="A201" i="1"/>
  <c r="A215" i="1"/>
  <c r="A229" i="1"/>
  <c r="A243" i="1"/>
  <c r="A257" i="1"/>
  <c r="A271" i="1"/>
  <c r="A285" i="1"/>
  <c r="A299" i="1"/>
  <c r="A313" i="1"/>
  <c r="A327" i="1"/>
  <c r="A341" i="1"/>
  <c r="A355" i="1"/>
  <c r="A369" i="1"/>
  <c r="A383" i="1"/>
  <c r="A397" i="1"/>
  <c r="M397" i="1"/>
  <c r="L397" i="1"/>
  <c r="K397" i="1"/>
  <c r="J397" i="1"/>
  <c r="A200" i="1"/>
  <c r="A214" i="1"/>
  <c r="A228" i="1"/>
  <c r="A242" i="1"/>
  <c r="A256" i="1"/>
  <c r="A270" i="1"/>
  <c r="A284" i="1"/>
  <c r="A298" i="1"/>
  <c r="A312" i="1"/>
  <c r="A326" i="1"/>
  <c r="A340" i="1"/>
  <c r="A354" i="1"/>
  <c r="A368" i="1"/>
  <c r="A382" i="1"/>
  <c r="A396" i="1"/>
  <c r="M396" i="1"/>
  <c r="L396" i="1"/>
  <c r="K396" i="1"/>
  <c r="J396" i="1"/>
  <c r="A199" i="1"/>
  <c r="A213" i="1"/>
  <c r="A227" i="1"/>
  <c r="A241" i="1"/>
  <c r="A255" i="1"/>
  <c r="A269" i="1"/>
  <c r="A283" i="1"/>
  <c r="A297" i="1"/>
  <c r="A311" i="1"/>
  <c r="A325" i="1"/>
  <c r="A339" i="1"/>
  <c r="A353" i="1"/>
  <c r="A367" i="1"/>
  <c r="A381" i="1"/>
  <c r="A395" i="1"/>
  <c r="M395" i="1"/>
  <c r="L395" i="1"/>
  <c r="K395" i="1"/>
  <c r="J395" i="1"/>
  <c r="A198" i="1"/>
  <c r="A212" i="1"/>
  <c r="A226" i="1"/>
  <c r="A240" i="1"/>
  <c r="A254" i="1"/>
  <c r="A268" i="1"/>
  <c r="A282" i="1"/>
  <c r="A296" i="1"/>
  <c r="A310" i="1"/>
  <c r="A324" i="1"/>
  <c r="A338" i="1"/>
  <c r="A352" i="1"/>
  <c r="A366" i="1"/>
  <c r="A380" i="1"/>
  <c r="A394" i="1"/>
  <c r="M394" i="1"/>
  <c r="L394" i="1"/>
  <c r="K394" i="1"/>
  <c r="J394" i="1"/>
  <c r="A388" i="1"/>
  <c r="M388" i="1"/>
  <c r="L388" i="1"/>
  <c r="K388" i="1"/>
  <c r="J388" i="1"/>
  <c r="M376" i="1"/>
  <c r="M377" i="1"/>
  <c r="M378" i="1"/>
  <c r="M379" i="1"/>
  <c r="M380" i="1"/>
  <c r="M381" i="1"/>
  <c r="M382" i="1"/>
  <c r="M383" i="1"/>
  <c r="M384" i="1"/>
  <c r="L376" i="1"/>
  <c r="L377" i="1"/>
  <c r="L378" i="1"/>
  <c r="L379" i="1"/>
  <c r="L380" i="1"/>
  <c r="L381" i="1"/>
  <c r="L382" i="1"/>
  <c r="L383" i="1"/>
  <c r="L384" i="1"/>
  <c r="K376" i="1"/>
  <c r="K377" i="1"/>
  <c r="K378" i="1"/>
  <c r="K379" i="1"/>
  <c r="K380" i="1"/>
  <c r="K381" i="1"/>
  <c r="K382" i="1"/>
  <c r="K383" i="1"/>
  <c r="K384" i="1"/>
  <c r="J376" i="1"/>
  <c r="J377" i="1"/>
  <c r="J378" i="1"/>
  <c r="J379" i="1"/>
  <c r="J380" i="1"/>
  <c r="J381" i="1"/>
  <c r="J382" i="1"/>
  <c r="J383" i="1"/>
  <c r="J384" i="1"/>
  <c r="M370" i="1"/>
  <c r="L370" i="1"/>
  <c r="K370" i="1"/>
  <c r="J370" i="1"/>
  <c r="M369" i="1"/>
  <c r="L369" i="1"/>
  <c r="K369" i="1"/>
  <c r="J369" i="1"/>
  <c r="M368" i="1"/>
  <c r="L368" i="1"/>
  <c r="K368" i="1"/>
  <c r="J368" i="1"/>
  <c r="M367" i="1"/>
  <c r="L367" i="1"/>
  <c r="K367" i="1"/>
  <c r="J367" i="1"/>
  <c r="M366" i="1"/>
  <c r="L366" i="1"/>
  <c r="K366" i="1"/>
  <c r="J366" i="1"/>
  <c r="M365" i="1"/>
  <c r="L365" i="1"/>
  <c r="K365" i="1"/>
  <c r="J365" i="1"/>
  <c r="M364" i="1"/>
  <c r="L364" i="1"/>
  <c r="K364" i="1"/>
  <c r="J364" i="1"/>
  <c r="M363" i="1"/>
  <c r="L363" i="1"/>
  <c r="K363" i="1"/>
  <c r="J363" i="1"/>
  <c r="M362" i="1"/>
  <c r="L362" i="1"/>
  <c r="K362" i="1"/>
  <c r="J362" i="1"/>
  <c r="M356" i="1"/>
  <c r="L356" i="1"/>
  <c r="K356" i="1"/>
  <c r="J356" i="1"/>
  <c r="M355" i="1"/>
  <c r="L355" i="1"/>
  <c r="K355" i="1"/>
  <c r="J355" i="1"/>
  <c r="M354" i="1"/>
  <c r="L354" i="1"/>
  <c r="K354" i="1"/>
  <c r="J354" i="1"/>
  <c r="M353" i="1"/>
  <c r="L353" i="1"/>
  <c r="K353" i="1"/>
  <c r="J353" i="1"/>
  <c r="M352" i="1"/>
  <c r="L352" i="1"/>
  <c r="K352" i="1"/>
  <c r="J352" i="1"/>
  <c r="M351" i="1"/>
  <c r="L351" i="1"/>
  <c r="K351" i="1"/>
  <c r="J351" i="1"/>
  <c r="M350" i="1"/>
  <c r="L350" i="1"/>
  <c r="K350" i="1"/>
  <c r="J350" i="1"/>
  <c r="M349" i="1"/>
  <c r="L349" i="1"/>
  <c r="K349" i="1"/>
  <c r="J349" i="1"/>
  <c r="M348" i="1"/>
  <c r="L348" i="1"/>
  <c r="K348" i="1"/>
  <c r="J348" i="1"/>
  <c r="M333" i="1"/>
  <c r="M334" i="1"/>
  <c r="M335" i="1"/>
  <c r="M336" i="1"/>
  <c r="M337" i="1"/>
  <c r="M338" i="1"/>
  <c r="M339" i="1"/>
  <c r="M340" i="1"/>
  <c r="M341" i="1"/>
  <c r="M342" i="1"/>
  <c r="L333" i="1"/>
  <c r="L334" i="1"/>
  <c r="L335" i="1"/>
  <c r="L336" i="1"/>
  <c r="L337" i="1"/>
  <c r="L338" i="1"/>
  <c r="L339" i="1"/>
  <c r="L340" i="1"/>
  <c r="L341" i="1"/>
  <c r="L342" i="1"/>
  <c r="K333" i="1"/>
  <c r="K334" i="1"/>
  <c r="K335" i="1"/>
  <c r="K336" i="1"/>
  <c r="K337" i="1"/>
  <c r="K338" i="1"/>
  <c r="K339" i="1"/>
  <c r="K340" i="1"/>
  <c r="K341" i="1"/>
  <c r="K342" i="1"/>
  <c r="J333" i="1"/>
  <c r="J334" i="1"/>
  <c r="J335" i="1"/>
  <c r="J336" i="1"/>
  <c r="J337" i="1"/>
  <c r="J338" i="1"/>
  <c r="J339" i="1"/>
  <c r="J340" i="1"/>
  <c r="J341" i="1"/>
  <c r="J342" i="1"/>
  <c r="M320" i="1"/>
  <c r="M321" i="1"/>
  <c r="M322" i="1"/>
  <c r="M323" i="1"/>
  <c r="M151" i="1"/>
  <c r="M324" i="1"/>
  <c r="M325" i="1"/>
  <c r="M326" i="1"/>
  <c r="M327" i="1"/>
  <c r="M328" i="1"/>
  <c r="L320" i="1"/>
  <c r="L321" i="1"/>
  <c r="L322" i="1"/>
  <c r="L323" i="1"/>
  <c r="L151" i="1"/>
  <c r="L324" i="1"/>
  <c r="L325" i="1"/>
  <c r="L326" i="1"/>
  <c r="L327" i="1"/>
  <c r="L328" i="1"/>
  <c r="K320" i="1"/>
  <c r="K321" i="1"/>
  <c r="K322" i="1"/>
  <c r="K323" i="1"/>
  <c r="K151" i="1"/>
  <c r="K324" i="1"/>
  <c r="K325" i="1"/>
  <c r="K326" i="1"/>
  <c r="K327" i="1"/>
  <c r="K328" i="1"/>
  <c r="J320" i="1"/>
  <c r="J321" i="1"/>
  <c r="J322" i="1"/>
  <c r="J323" i="1"/>
  <c r="J151" i="1"/>
  <c r="J324" i="1"/>
  <c r="J325" i="1"/>
  <c r="J326" i="1"/>
  <c r="J327" i="1"/>
  <c r="J328" i="1"/>
  <c r="M314" i="1"/>
  <c r="L314" i="1"/>
  <c r="K314" i="1"/>
  <c r="J314" i="1"/>
  <c r="M313" i="1"/>
  <c r="L313" i="1"/>
  <c r="K313" i="1"/>
  <c r="J313" i="1"/>
  <c r="M312" i="1"/>
  <c r="L312" i="1"/>
  <c r="K312" i="1"/>
  <c r="J312" i="1"/>
  <c r="M311" i="1"/>
  <c r="L311" i="1"/>
  <c r="K311" i="1"/>
  <c r="J311" i="1"/>
  <c r="M310" i="1"/>
  <c r="L310" i="1"/>
  <c r="K310" i="1"/>
  <c r="J310" i="1"/>
  <c r="M309" i="1"/>
  <c r="L309" i="1"/>
  <c r="K309" i="1"/>
  <c r="J309" i="1"/>
  <c r="M308" i="1"/>
  <c r="L308" i="1"/>
  <c r="K308" i="1"/>
  <c r="J308" i="1"/>
  <c r="M307" i="1"/>
  <c r="L307" i="1"/>
  <c r="K307" i="1"/>
  <c r="J307" i="1"/>
  <c r="M306" i="1"/>
  <c r="L306" i="1"/>
  <c r="K306" i="1"/>
  <c r="J306" i="1"/>
  <c r="M304" i="1"/>
  <c r="L304" i="1"/>
  <c r="K304" i="1"/>
  <c r="J304" i="1"/>
  <c r="M292" i="1"/>
  <c r="M293" i="1"/>
  <c r="M294" i="1"/>
  <c r="M295" i="1"/>
  <c r="M296" i="1"/>
  <c r="M297" i="1"/>
  <c r="M298" i="1"/>
  <c r="M299" i="1"/>
  <c r="M300" i="1"/>
  <c r="L292" i="1"/>
  <c r="L293" i="1"/>
  <c r="L294" i="1"/>
  <c r="L295" i="1"/>
  <c r="L296" i="1"/>
  <c r="L297" i="1"/>
  <c r="L298" i="1"/>
  <c r="L299" i="1"/>
  <c r="L300" i="1"/>
  <c r="K292" i="1"/>
  <c r="K293" i="1"/>
  <c r="K294" i="1"/>
  <c r="K295" i="1"/>
  <c r="K296" i="1"/>
  <c r="K297" i="1"/>
  <c r="K298" i="1"/>
  <c r="K299" i="1"/>
  <c r="K300" i="1"/>
  <c r="J292" i="1"/>
  <c r="J293" i="1"/>
  <c r="J294" i="1"/>
  <c r="J295" i="1"/>
  <c r="J296" i="1"/>
  <c r="J297" i="1"/>
  <c r="J298" i="1"/>
  <c r="J299" i="1"/>
  <c r="J300" i="1"/>
  <c r="M290" i="1"/>
  <c r="L290" i="1"/>
  <c r="K290" i="1"/>
  <c r="J290" i="1"/>
  <c r="M286" i="1"/>
  <c r="L286" i="1"/>
  <c r="K286" i="1"/>
  <c r="J286" i="1"/>
  <c r="M285" i="1"/>
  <c r="L285" i="1"/>
  <c r="K285" i="1"/>
  <c r="J285" i="1"/>
  <c r="M284" i="1"/>
  <c r="L284" i="1"/>
  <c r="K284" i="1"/>
  <c r="J284" i="1"/>
  <c r="M283" i="1"/>
  <c r="L283" i="1"/>
  <c r="K283" i="1"/>
  <c r="J283" i="1"/>
  <c r="M282" i="1"/>
  <c r="L282" i="1"/>
  <c r="K282" i="1"/>
  <c r="J282" i="1"/>
  <c r="M281" i="1"/>
  <c r="L281" i="1"/>
  <c r="K281" i="1"/>
  <c r="J281" i="1"/>
  <c r="M280" i="1"/>
  <c r="L280" i="1"/>
  <c r="K280" i="1"/>
  <c r="J280" i="1"/>
  <c r="M279" i="1"/>
  <c r="L279" i="1"/>
  <c r="K279" i="1"/>
  <c r="J279" i="1"/>
  <c r="M278" i="1"/>
  <c r="L278" i="1"/>
  <c r="K278" i="1"/>
  <c r="J278" i="1"/>
  <c r="M192" i="1"/>
  <c r="M276" i="1"/>
  <c r="L192" i="1"/>
  <c r="L276" i="1"/>
  <c r="K192" i="1"/>
  <c r="K276" i="1"/>
  <c r="J192" i="1"/>
  <c r="J276" i="1"/>
  <c r="M272" i="1"/>
  <c r="L272" i="1"/>
  <c r="K272" i="1"/>
  <c r="J272" i="1"/>
  <c r="M271" i="1"/>
  <c r="L271" i="1"/>
  <c r="K271" i="1"/>
  <c r="J271" i="1"/>
  <c r="M270" i="1"/>
  <c r="L270" i="1"/>
  <c r="K270" i="1"/>
  <c r="J270" i="1"/>
  <c r="M269" i="1"/>
  <c r="L269" i="1"/>
  <c r="K269" i="1"/>
  <c r="J269" i="1"/>
  <c r="M268" i="1"/>
  <c r="L268" i="1"/>
  <c r="K268" i="1"/>
  <c r="J268" i="1"/>
  <c r="M267" i="1"/>
  <c r="L267" i="1"/>
  <c r="K267" i="1"/>
  <c r="J267" i="1"/>
  <c r="M266" i="1"/>
  <c r="L266" i="1"/>
  <c r="K266" i="1"/>
  <c r="J266" i="1"/>
  <c r="M265" i="1"/>
  <c r="L265" i="1"/>
  <c r="K265" i="1"/>
  <c r="J265" i="1"/>
  <c r="M264" i="1"/>
  <c r="L264" i="1"/>
  <c r="K264" i="1"/>
  <c r="J264" i="1"/>
  <c r="M263" i="1"/>
  <c r="L263" i="1"/>
  <c r="K263" i="1"/>
  <c r="J263" i="1"/>
  <c r="M262" i="1"/>
  <c r="L262" i="1"/>
  <c r="K262" i="1"/>
  <c r="J262" i="1"/>
  <c r="M248" i="1"/>
  <c r="M249" i="1"/>
  <c r="M250" i="1"/>
  <c r="M251" i="1"/>
  <c r="M252" i="1"/>
  <c r="M253" i="1"/>
  <c r="M254" i="1"/>
  <c r="M255" i="1"/>
  <c r="M256" i="1"/>
  <c r="M257" i="1"/>
  <c r="M258" i="1"/>
  <c r="L248" i="1"/>
  <c r="L249" i="1"/>
  <c r="L250" i="1"/>
  <c r="L251" i="1"/>
  <c r="L252" i="1"/>
  <c r="L253" i="1"/>
  <c r="L254" i="1"/>
  <c r="L255" i="1"/>
  <c r="L256" i="1"/>
  <c r="L257" i="1"/>
  <c r="L258" i="1"/>
  <c r="K248" i="1"/>
  <c r="K249" i="1"/>
  <c r="K250" i="1"/>
  <c r="K251" i="1"/>
  <c r="K252" i="1"/>
  <c r="K253" i="1"/>
  <c r="K254" i="1"/>
  <c r="K255" i="1"/>
  <c r="K256" i="1"/>
  <c r="K257" i="1"/>
  <c r="K258" i="1"/>
  <c r="J248" i="1"/>
  <c r="J249" i="1"/>
  <c r="J250" i="1"/>
  <c r="J251" i="1"/>
  <c r="J252" i="1"/>
  <c r="J253" i="1"/>
  <c r="J254" i="1"/>
  <c r="J255" i="1"/>
  <c r="J256" i="1"/>
  <c r="J257" i="1"/>
  <c r="J258" i="1"/>
  <c r="M244" i="1"/>
  <c r="L244" i="1"/>
  <c r="K244" i="1"/>
  <c r="J244" i="1"/>
  <c r="M243" i="1"/>
  <c r="L243" i="1"/>
  <c r="K243" i="1"/>
  <c r="J243" i="1"/>
  <c r="M242" i="1"/>
  <c r="L242" i="1"/>
  <c r="K242" i="1"/>
  <c r="J242" i="1"/>
  <c r="M241" i="1"/>
  <c r="L241" i="1"/>
  <c r="K241" i="1"/>
  <c r="J241" i="1"/>
  <c r="M240" i="1"/>
  <c r="L240" i="1"/>
  <c r="K240" i="1"/>
  <c r="J240" i="1"/>
  <c r="M239" i="1"/>
  <c r="L239" i="1"/>
  <c r="K239" i="1"/>
  <c r="J239" i="1"/>
  <c r="M238" i="1"/>
  <c r="L238" i="1"/>
  <c r="K238" i="1"/>
  <c r="J238" i="1"/>
  <c r="M237" i="1"/>
  <c r="L237" i="1"/>
  <c r="K237" i="1"/>
  <c r="J237" i="1"/>
  <c r="M236" i="1"/>
  <c r="L236" i="1"/>
  <c r="K236" i="1"/>
  <c r="J236" i="1"/>
  <c r="M235" i="1"/>
  <c r="L235" i="1"/>
  <c r="K235" i="1"/>
  <c r="J235" i="1"/>
  <c r="M234" i="1"/>
  <c r="L234" i="1"/>
  <c r="K234" i="1"/>
  <c r="J234" i="1"/>
  <c r="M220" i="1"/>
  <c r="L220" i="1"/>
  <c r="K220" i="1"/>
  <c r="J220" i="1"/>
  <c r="M206" i="1"/>
  <c r="L206" i="1"/>
  <c r="K206" i="1"/>
  <c r="J206" i="1"/>
  <c r="M202" i="1"/>
  <c r="L202" i="1"/>
  <c r="K202" i="1"/>
  <c r="J202" i="1"/>
  <c r="M201" i="1"/>
  <c r="L201" i="1"/>
  <c r="K201" i="1"/>
  <c r="J201" i="1"/>
  <c r="M200" i="1"/>
  <c r="L200" i="1"/>
  <c r="K200" i="1"/>
  <c r="J200" i="1"/>
  <c r="M199" i="1"/>
  <c r="L199" i="1"/>
  <c r="K199" i="1"/>
  <c r="J199" i="1"/>
  <c r="M198" i="1"/>
  <c r="L198" i="1"/>
  <c r="K198" i="1"/>
  <c r="J198" i="1"/>
  <c r="M197" i="1"/>
  <c r="L197" i="1"/>
  <c r="K197" i="1"/>
  <c r="J197" i="1"/>
  <c r="M196" i="1"/>
  <c r="L196" i="1"/>
  <c r="K196" i="1"/>
  <c r="J196" i="1"/>
  <c r="M195" i="1"/>
  <c r="L195" i="1"/>
  <c r="K195" i="1"/>
  <c r="J195" i="1"/>
  <c r="M194" i="1"/>
  <c r="L194" i="1"/>
  <c r="K194" i="1"/>
  <c r="J194" i="1"/>
  <c r="M193" i="1"/>
  <c r="L193" i="1"/>
  <c r="K193" i="1"/>
  <c r="J193" i="1"/>
  <c r="A188" i="1"/>
  <c r="M188" i="1"/>
  <c r="L188" i="1"/>
  <c r="K188" i="1"/>
  <c r="J188" i="1"/>
  <c r="A187" i="1"/>
  <c r="M187" i="1"/>
  <c r="L187" i="1"/>
  <c r="K187" i="1"/>
  <c r="J187" i="1"/>
  <c r="A186" i="1"/>
  <c r="M186" i="1"/>
  <c r="L186" i="1"/>
  <c r="K186" i="1"/>
  <c r="J186" i="1"/>
  <c r="A185" i="1"/>
  <c r="M185" i="1"/>
  <c r="L185" i="1"/>
  <c r="K185" i="1"/>
  <c r="J185" i="1"/>
  <c r="A184" i="1"/>
  <c r="M184" i="1"/>
  <c r="L184" i="1"/>
  <c r="K184" i="1"/>
  <c r="J184" i="1"/>
  <c r="A183" i="1"/>
  <c r="M183" i="1"/>
  <c r="L183" i="1"/>
  <c r="K183" i="1"/>
  <c r="J183" i="1"/>
  <c r="A182" i="1"/>
  <c r="M182" i="1"/>
  <c r="L182" i="1"/>
  <c r="K182" i="1"/>
  <c r="J182" i="1"/>
  <c r="A181" i="1"/>
  <c r="M181" i="1"/>
  <c r="L181" i="1"/>
  <c r="K181" i="1"/>
  <c r="J181" i="1"/>
  <c r="A180" i="1"/>
  <c r="M180" i="1"/>
  <c r="L180" i="1"/>
  <c r="K180" i="1"/>
  <c r="J180" i="1"/>
  <c r="M179" i="1"/>
  <c r="L179" i="1"/>
  <c r="K179" i="1"/>
  <c r="J179" i="1"/>
  <c r="A178" i="1"/>
  <c r="M178" i="1"/>
  <c r="L178" i="1"/>
  <c r="K178" i="1"/>
  <c r="J178" i="1"/>
  <c r="M164" i="1"/>
  <c r="L164" i="1"/>
  <c r="K164" i="1"/>
  <c r="J164" i="1"/>
  <c r="M156" i="1"/>
  <c r="L156" i="1"/>
  <c r="K156" i="1"/>
  <c r="J156" i="1"/>
  <c r="M155" i="1"/>
  <c r="L155" i="1"/>
  <c r="K155" i="1"/>
  <c r="J155" i="1"/>
  <c r="M154" i="1"/>
  <c r="L154" i="1"/>
  <c r="K154" i="1"/>
  <c r="J154" i="1"/>
  <c r="M153" i="1"/>
  <c r="L153" i="1"/>
  <c r="K153" i="1"/>
  <c r="J153" i="1"/>
  <c r="M152" i="1"/>
  <c r="L152" i="1"/>
  <c r="K152" i="1"/>
  <c r="J152" i="1"/>
  <c r="M150" i="1"/>
  <c r="L150" i="1"/>
  <c r="K150" i="1"/>
  <c r="J150" i="1"/>
  <c r="M147" i="1"/>
  <c r="M149" i="1"/>
  <c r="K147" i="1"/>
  <c r="K149" i="1"/>
  <c r="J147" i="1"/>
  <c r="J149" i="1"/>
  <c r="M148" i="1"/>
  <c r="K148" i="1"/>
  <c r="J148" i="1"/>
  <c r="M146" i="1"/>
  <c r="L146" i="1"/>
  <c r="K146" i="1"/>
  <c r="J146" i="1"/>
  <c r="M145" i="1"/>
  <c r="K145" i="1"/>
  <c r="J145" i="1"/>
  <c r="M140" i="1"/>
  <c r="L140" i="1"/>
  <c r="K140" i="1"/>
  <c r="J140" i="1"/>
  <c r="M139" i="1"/>
  <c r="K139" i="1"/>
  <c r="J139" i="1"/>
  <c r="M137" i="1"/>
  <c r="L137" i="1"/>
  <c r="K137" i="1"/>
  <c r="J137" i="1"/>
  <c r="M136" i="1"/>
  <c r="L136" i="1"/>
  <c r="K136" i="1"/>
  <c r="J136" i="1"/>
  <c r="M135" i="1"/>
  <c r="L135" i="1"/>
  <c r="K135" i="1"/>
  <c r="J135" i="1"/>
  <c r="M134" i="1"/>
  <c r="L134" i="1"/>
  <c r="K134" i="1"/>
  <c r="J134" i="1"/>
  <c r="M132" i="1"/>
  <c r="L132" i="1"/>
  <c r="K132" i="1"/>
  <c r="J132" i="1"/>
  <c r="M131" i="1"/>
  <c r="L131" i="1"/>
  <c r="K131" i="1"/>
  <c r="J131" i="1"/>
  <c r="M14" i="1"/>
  <c r="M28" i="1"/>
  <c r="M75" i="1"/>
  <c r="M80" i="1"/>
  <c r="M82" i="1"/>
  <c r="M79" i="1"/>
  <c r="M74" i="1"/>
  <c r="M29" i="1"/>
  <c r="M30" i="1"/>
  <c r="M48" i="1"/>
  <c r="M53" i="1"/>
  <c r="M49" i="1"/>
  <c r="M44" i="1"/>
  <c r="M51" i="1"/>
  <c r="M52" i="1"/>
  <c r="M45" i="1"/>
  <c r="M56" i="1"/>
  <c r="M60" i="1"/>
  <c r="M55" i="1"/>
  <c r="M58" i="1"/>
  <c r="L14" i="1"/>
  <c r="L28" i="1"/>
  <c r="L75" i="1"/>
  <c r="L80" i="1"/>
  <c r="L82" i="1"/>
  <c r="L79" i="1"/>
  <c r="L74" i="1"/>
  <c r="L29" i="1"/>
  <c r="L30" i="1"/>
  <c r="L48" i="1"/>
  <c r="L53" i="1"/>
  <c r="L49" i="1"/>
  <c r="L44" i="1"/>
  <c r="L51" i="1"/>
  <c r="L52" i="1"/>
  <c r="L45" i="1"/>
  <c r="L56" i="1"/>
  <c r="L60" i="1"/>
  <c r="L55" i="1"/>
  <c r="L58" i="1"/>
  <c r="K14" i="1"/>
  <c r="K28" i="1"/>
  <c r="K75" i="1"/>
  <c r="K80" i="1"/>
  <c r="K82" i="1"/>
  <c r="K79" i="1"/>
  <c r="K74" i="1"/>
  <c r="K29" i="1"/>
  <c r="K30" i="1"/>
  <c r="K48" i="1"/>
  <c r="K53" i="1"/>
  <c r="K49" i="1"/>
  <c r="K44" i="1"/>
  <c r="K51" i="1"/>
  <c r="K52" i="1"/>
  <c r="K45" i="1"/>
  <c r="K56" i="1"/>
  <c r="K60" i="1"/>
  <c r="K55" i="1"/>
  <c r="K58" i="1"/>
  <c r="J14" i="1"/>
  <c r="J28" i="1"/>
  <c r="J75" i="1"/>
  <c r="J80" i="1"/>
  <c r="J82" i="1"/>
  <c r="J79" i="1"/>
  <c r="J74" i="1"/>
  <c r="J29" i="1"/>
  <c r="J30" i="1"/>
  <c r="J48" i="1"/>
  <c r="J53" i="1"/>
  <c r="J49" i="1"/>
  <c r="J44" i="1"/>
  <c r="J51" i="1"/>
  <c r="J52" i="1"/>
  <c r="J45" i="1"/>
  <c r="J56" i="1"/>
  <c r="J60" i="1"/>
  <c r="J55" i="1"/>
  <c r="J58" i="1"/>
  <c r="M125" i="1"/>
  <c r="L125" i="1"/>
  <c r="K125" i="1"/>
  <c r="J125" i="1"/>
  <c r="M124" i="1"/>
  <c r="L124" i="1"/>
  <c r="K124" i="1"/>
  <c r="J124" i="1"/>
  <c r="M123" i="1"/>
  <c r="L123" i="1"/>
  <c r="K123" i="1"/>
  <c r="J123" i="1"/>
  <c r="M120" i="1"/>
  <c r="L120" i="1"/>
  <c r="K120" i="1"/>
  <c r="J120" i="1"/>
  <c r="M119" i="1"/>
  <c r="L119" i="1"/>
  <c r="K119" i="1"/>
  <c r="J119" i="1"/>
  <c r="M118" i="1"/>
  <c r="K118" i="1"/>
  <c r="J118" i="1"/>
  <c r="M116" i="1"/>
  <c r="L116" i="1"/>
  <c r="K116" i="1"/>
  <c r="J116" i="1"/>
  <c r="M115" i="1"/>
  <c r="L115" i="1"/>
  <c r="K115" i="1"/>
  <c r="J115" i="1"/>
  <c r="M112" i="1"/>
  <c r="M113" i="1"/>
  <c r="K112" i="1"/>
  <c r="K113" i="1"/>
  <c r="J112" i="1"/>
  <c r="J113" i="1"/>
  <c r="M109" i="1"/>
  <c r="L109" i="1"/>
  <c r="K109" i="1"/>
  <c r="J109" i="1"/>
  <c r="M108" i="1"/>
  <c r="K108" i="1"/>
  <c r="J108" i="1"/>
  <c r="M107" i="1"/>
  <c r="L107" i="1"/>
  <c r="K107" i="1"/>
  <c r="J107" i="1"/>
  <c r="M105" i="1"/>
  <c r="L105" i="1"/>
  <c r="K105" i="1"/>
  <c r="J105" i="1"/>
  <c r="M104" i="1"/>
  <c r="L104" i="1"/>
  <c r="K104" i="1"/>
  <c r="J104" i="1"/>
  <c r="M103" i="1"/>
  <c r="L103" i="1"/>
  <c r="K103" i="1"/>
  <c r="J103" i="1"/>
  <c r="M102" i="1"/>
  <c r="K102" i="1"/>
  <c r="J102" i="1"/>
  <c r="M101" i="1"/>
  <c r="K101" i="1"/>
  <c r="J101" i="1"/>
  <c r="M97" i="1"/>
  <c r="K97" i="1"/>
  <c r="J97" i="1"/>
  <c r="M96" i="1"/>
  <c r="L96" i="1"/>
  <c r="K96" i="1"/>
  <c r="J96" i="1"/>
  <c r="M95" i="1"/>
  <c r="K95" i="1"/>
  <c r="J95" i="1"/>
  <c r="M88" i="1"/>
  <c r="L88" i="1"/>
  <c r="K88" i="1"/>
  <c r="J88" i="1"/>
  <c r="M87" i="1"/>
  <c r="L87" i="1"/>
  <c r="K87" i="1"/>
  <c r="J87" i="1"/>
  <c r="M86" i="1"/>
  <c r="L86" i="1"/>
  <c r="K86" i="1"/>
  <c r="J86" i="1"/>
  <c r="M85" i="1"/>
  <c r="L85" i="1"/>
  <c r="K85" i="1"/>
  <c r="J85" i="1"/>
  <c r="M77" i="1"/>
  <c r="L77" i="1"/>
  <c r="K77" i="1"/>
  <c r="J77" i="1"/>
  <c r="M71" i="1"/>
  <c r="L71" i="1"/>
  <c r="K71" i="1"/>
  <c r="J71" i="1"/>
  <c r="M63" i="1"/>
  <c r="M70" i="1"/>
  <c r="L63" i="1"/>
  <c r="K63" i="1"/>
  <c r="J63" i="1"/>
  <c r="J70" i="1"/>
  <c r="M68" i="1"/>
  <c r="L68" i="1"/>
  <c r="K68" i="1"/>
  <c r="J68" i="1"/>
  <c r="M67" i="1"/>
  <c r="J67" i="1"/>
  <c r="M65" i="1"/>
  <c r="L65" i="1"/>
  <c r="K65" i="1"/>
  <c r="J65" i="1"/>
  <c r="M37" i="1"/>
  <c r="L37" i="1"/>
  <c r="K37" i="1"/>
  <c r="J37" i="1"/>
  <c r="M36" i="1"/>
  <c r="L36" i="1"/>
  <c r="K36" i="1"/>
  <c r="J36" i="1"/>
  <c r="M35" i="1"/>
  <c r="L35" i="1"/>
  <c r="K35" i="1"/>
  <c r="J35" i="1"/>
  <c r="M34" i="1"/>
  <c r="L34" i="1"/>
  <c r="K34" i="1"/>
  <c r="J34" i="1"/>
  <c r="M33" i="1"/>
  <c r="L33" i="1"/>
  <c r="K33" i="1"/>
  <c r="J33" i="1"/>
  <c r="M32" i="1"/>
  <c r="L32" i="1"/>
  <c r="K32" i="1"/>
  <c r="J32" i="1"/>
  <c r="M25" i="1"/>
  <c r="L25" i="1"/>
  <c r="K25" i="1"/>
  <c r="J25" i="1"/>
  <c r="M13" i="1"/>
  <c r="L13" i="1"/>
  <c r="K13" i="1"/>
  <c r="J13" i="1"/>
  <c r="C897" i="1"/>
  <c r="C558" i="1"/>
  <c r="C894" i="1"/>
  <c r="C563" i="1"/>
  <c r="C564" i="1"/>
  <c r="C550" i="1"/>
  <c r="C752" i="1"/>
  <c r="C751" i="1"/>
  <c r="C893" i="1"/>
  <c r="C548" i="1"/>
  <c r="C642" i="1"/>
  <c r="C648" i="1"/>
  <c r="C655" i="1"/>
  <c r="C656" i="1"/>
  <c r="C657" i="1"/>
  <c r="C658" i="1"/>
  <c r="C659" i="1"/>
  <c r="C652" i="1"/>
  <c r="C660" i="1"/>
  <c r="C651" i="1"/>
  <c r="C646" i="1"/>
  <c r="C668" i="1"/>
  <c r="C672" i="1"/>
  <c r="C554" i="1"/>
  <c r="C645" i="1"/>
  <c r="C654" i="1"/>
  <c r="C644" i="1"/>
  <c r="C555" i="1"/>
  <c r="C553" i="1"/>
  <c r="C899" i="1"/>
  <c r="D897" i="1"/>
  <c r="D558" i="1"/>
  <c r="D894" i="1"/>
  <c r="D563" i="1"/>
  <c r="D564" i="1"/>
  <c r="D550" i="1"/>
  <c r="D752" i="1"/>
  <c r="D751" i="1"/>
  <c r="D893" i="1"/>
  <c r="D548" i="1"/>
  <c r="D642" i="1"/>
  <c r="D648" i="1"/>
  <c r="D655" i="1"/>
  <c r="D656" i="1"/>
  <c r="D657" i="1"/>
  <c r="D658" i="1"/>
  <c r="D659" i="1"/>
  <c r="D652" i="1"/>
  <c r="D660" i="1"/>
  <c r="D651" i="1"/>
  <c r="D646" i="1"/>
  <c r="D668" i="1"/>
  <c r="D672" i="1"/>
  <c r="D554" i="1"/>
  <c r="D645" i="1"/>
  <c r="D654" i="1"/>
  <c r="D644" i="1"/>
  <c r="D555" i="1"/>
  <c r="D553" i="1"/>
  <c r="D899" i="1"/>
  <c r="E897" i="1"/>
  <c r="E558" i="1"/>
  <c r="E894" i="1"/>
  <c r="E563" i="1"/>
  <c r="E564" i="1"/>
  <c r="E550" i="1"/>
  <c r="E752" i="1"/>
  <c r="E751" i="1"/>
  <c r="E893" i="1"/>
  <c r="E548" i="1"/>
  <c r="E642" i="1"/>
  <c r="E648" i="1"/>
  <c r="E655" i="1"/>
  <c r="E656" i="1"/>
  <c r="E657" i="1"/>
  <c r="E658" i="1"/>
  <c r="E659" i="1"/>
  <c r="E652" i="1"/>
  <c r="E660" i="1"/>
  <c r="E651" i="1"/>
  <c r="E646" i="1"/>
  <c r="E668" i="1"/>
  <c r="E672" i="1"/>
  <c r="E554" i="1"/>
  <c r="E645" i="1"/>
  <c r="E654" i="1"/>
  <c r="E644" i="1"/>
  <c r="E555" i="1"/>
  <c r="E553" i="1"/>
  <c r="E899" i="1"/>
  <c r="F897" i="1"/>
  <c r="F558" i="1"/>
  <c r="F894" i="1"/>
  <c r="F563" i="1"/>
  <c r="F564" i="1"/>
  <c r="F550" i="1"/>
  <c r="F752" i="1"/>
  <c r="F751" i="1"/>
  <c r="F893" i="1"/>
  <c r="F548" i="1"/>
  <c r="F642" i="1"/>
  <c r="F648" i="1"/>
  <c r="F655" i="1"/>
  <c r="F656" i="1"/>
  <c r="F657" i="1"/>
  <c r="F658" i="1"/>
  <c r="F659" i="1"/>
  <c r="F652" i="1"/>
  <c r="F660" i="1"/>
  <c r="F651" i="1"/>
  <c r="F646" i="1"/>
  <c r="F668" i="1"/>
  <c r="F672" i="1"/>
  <c r="F554" i="1"/>
  <c r="F645" i="1"/>
  <c r="F654" i="1"/>
  <c r="F644" i="1"/>
  <c r="F555" i="1"/>
  <c r="F553" i="1"/>
  <c r="F899" i="1"/>
  <c r="G897" i="1"/>
  <c r="G558" i="1"/>
  <c r="G894" i="1"/>
  <c r="G563" i="1"/>
  <c r="G564" i="1"/>
  <c r="G550" i="1"/>
  <c r="G752" i="1"/>
  <c r="G751" i="1"/>
  <c r="G893" i="1"/>
  <c r="G548" i="1"/>
  <c r="G642" i="1"/>
  <c r="G648" i="1"/>
  <c r="G655" i="1"/>
  <c r="G656" i="1"/>
  <c r="G657" i="1"/>
  <c r="G658" i="1"/>
  <c r="G659" i="1"/>
  <c r="G652" i="1"/>
  <c r="G660" i="1"/>
  <c r="G651" i="1"/>
  <c r="G646" i="1"/>
  <c r="G668" i="1"/>
  <c r="G672" i="1"/>
  <c r="G554" i="1"/>
  <c r="G645" i="1"/>
  <c r="G654" i="1"/>
  <c r="G644" i="1"/>
  <c r="G555" i="1"/>
  <c r="G553" i="1"/>
  <c r="G899" i="1"/>
  <c r="H668" i="1"/>
  <c r="H642" i="1"/>
  <c r="H564" i="1"/>
  <c r="H897" i="1"/>
  <c r="H558" i="1"/>
  <c r="H894" i="1"/>
  <c r="H563" i="1"/>
  <c r="H550" i="1"/>
  <c r="H752" i="1"/>
  <c r="H751" i="1"/>
  <c r="H893" i="1"/>
  <c r="H548" i="1"/>
  <c r="H655" i="1"/>
  <c r="H656" i="1"/>
  <c r="H657" i="1"/>
  <c r="H658" i="1"/>
  <c r="H659" i="1"/>
  <c r="H652" i="1"/>
  <c r="H648" i="1"/>
  <c r="H660" i="1"/>
  <c r="H651" i="1"/>
  <c r="H646" i="1"/>
  <c r="H672" i="1"/>
  <c r="H554" i="1"/>
  <c r="H654" i="1"/>
  <c r="H645" i="1"/>
  <c r="H644" i="1"/>
  <c r="H555" i="1"/>
  <c r="H553" i="1"/>
  <c r="H899" i="1"/>
  <c r="I897" i="1"/>
  <c r="I558" i="1"/>
  <c r="I894" i="1"/>
  <c r="I563" i="1"/>
  <c r="I564" i="1"/>
  <c r="I550" i="1"/>
  <c r="I752" i="1"/>
  <c r="I751" i="1"/>
  <c r="I893" i="1"/>
  <c r="I548" i="1"/>
  <c r="I642" i="1"/>
  <c r="I648" i="1"/>
  <c r="I655" i="1"/>
  <c r="I656" i="1"/>
  <c r="I657" i="1"/>
  <c r="I658" i="1"/>
  <c r="I659" i="1"/>
  <c r="I652" i="1"/>
  <c r="I660" i="1"/>
  <c r="I651" i="1"/>
  <c r="I646" i="1"/>
  <c r="I668" i="1"/>
  <c r="I672" i="1"/>
  <c r="I554" i="1"/>
  <c r="I645" i="1"/>
  <c r="I654" i="1"/>
  <c r="I644" i="1"/>
  <c r="I555" i="1"/>
  <c r="I553" i="1"/>
  <c r="I899" i="1"/>
  <c r="B668" i="1"/>
  <c r="B672" i="1"/>
  <c r="B554" i="1"/>
  <c r="B555" i="1"/>
  <c r="B553" i="1"/>
  <c r="B899" i="1"/>
  <c r="I896" i="1"/>
  <c r="I762" i="1"/>
  <c r="I757" i="1"/>
  <c r="I160" i="1"/>
  <c r="I374" i="1"/>
  <c r="I389" i="1"/>
  <c r="I375" i="1"/>
  <c r="I291" i="1"/>
  <c r="I277" i="1"/>
  <c r="I705" i="1"/>
  <c r="I716" i="1"/>
  <c r="I717" i="1"/>
  <c r="I718" i="1"/>
  <c r="I719" i="1"/>
  <c r="I720" i="1"/>
  <c r="I721" i="1"/>
  <c r="I722" i="1"/>
  <c r="I723" i="1"/>
  <c r="I724" i="1"/>
  <c r="I725" i="1"/>
  <c r="I726" i="1"/>
  <c r="I714" i="1"/>
  <c r="I711" i="1"/>
  <c r="I709" i="1"/>
  <c r="I346" i="1"/>
  <c r="I360" i="1"/>
  <c r="I361" i="1"/>
  <c r="I347" i="1"/>
  <c r="I332" i="1"/>
  <c r="I161" i="1"/>
  <c r="I318" i="1"/>
  <c r="I319" i="1"/>
  <c r="I305" i="1"/>
  <c r="I815" i="1"/>
  <c r="I680" i="1"/>
  <c r="I604" i="1"/>
  <c r="I603" i="1"/>
  <c r="I601" i="1"/>
  <c r="I612" i="1"/>
  <c r="I618" i="1"/>
  <c r="I607" i="1"/>
  <c r="I629" i="1"/>
  <c r="I622" i="1"/>
  <c r="I625" i="1"/>
  <c r="I623" i="1"/>
  <c r="I627" i="1"/>
  <c r="I802" i="1"/>
  <c r="I800" i="1"/>
  <c r="I547" i="1"/>
  <c r="I424" i="1"/>
  <c r="I557" i="1"/>
  <c r="I551" i="1"/>
  <c r="I753" i="1"/>
  <c r="I744" i="1"/>
  <c r="I743" i="1"/>
  <c r="I742" i="1"/>
  <c r="I738" i="1"/>
  <c r="I737" i="1"/>
  <c r="I736" i="1"/>
  <c r="I732" i="1"/>
  <c r="I731" i="1"/>
  <c r="I730" i="1"/>
  <c r="I713" i="1"/>
  <c r="I708" i="1"/>
  <c r="I707" i="1"/>
  <c r="I701" i="1"/>
  <c r="I700" i="1"/>
  <c r="I699" i="1"/>
  <c r="I695" i="1"/>
  <c r="I693" i="1"/>
  <c r="I692" i="1"/>
  <c r="I691" i="1"/>
  <c r="I690" i="1"/>
  <c r="I688" i="1"/>
  <c r="I687" i="1"/>
  <c r="I685" i="1"/>
  <c r="I684" i="1"/>
  <c r="I683" i="1"/>
  <c r="I681" i="1"/>
  <c r="I678" i="1"/>
  <c r="I677" i="1"/>
  <c r="I676" i="1"/>
  <c r="I675" i="1"/>
  <c r="I673" i="1"/>
  <c r="I669" i="1"/>
  <c r="I666" i="1"/>
  <c r="I665" i="1"/>
  <c r="I663" i="1"/>
  <c r="I649" i="1"/>
  <c r="I643" i="1"/>
  <c r="I639" i="1"/>
  <c r="I638" i="1"/>
  <c r="I637" i="1"/>
  <c r="I636" i="1"/>
  <c r="I635" i="1"/>
  <c r="I634" i="1"/>
  <c r="I631" i="1"/>
  <c r="I606" i="1"/>
  <c r="I628" i="1"/>
  <c r="I624" i="1"/>
  <c r="I621" i="1"/>
  <c r="I609" i="1"/>
  <c r="I598" i="1"/>
  <c r="I597" i="1"/>
  <c r="I596" i="1"/>
  <c r="I595" i="1"/>
  <c r="I592" i="1"/>
  <c r="I591" i="1"/>
  <c r="I590" i="1"/>
  <c r="I589" i="1"/>
  <c r="I588" i="1"/>
  <c r="I587" i="1"/>
  <c r="I586" i="1"/>
  <c r="I585" i="1"/>
  <c r="I582" i="1"/>
  <c r="I581" i="1"/>
  <c r="I576" i="1"/>
  <c r="I572" i="1"/>
  <c r="I571" i="1"/>
  <c r="I561" i="1"/>
  <c r="I560" i="1"/>
  <c r="I546" i="1"/>
  <c r="I543" i="1"/>
  <c r="I540" i="1"/>
  <c r="I539" i="1"/>
  <c r="I538" i="1"/>
  <c r="I537" i="1"/>
  <c r="I536" i="1"/>
  <c r="I535" i="1"/>
  <c r="I534" i="1"/>
  <c r="I533" i="1"/>
  <c r="I532" i="1"/>
  <c r="I531" i="1"/>
  <c r="I530" i="1"/>
  <c r="I528" i="1"/>
  <c r="I527" i="1"/>
  <c r="I526" i="1"/>
  <c r="I525" i="1"/>
  <c r="I524" i="1"/>
  <c r="I523" i="1"/>
  <c r="I522" i="1"/>
  <c r="I521" i="1"/>
  <c r="I520" i="1"/>
  <c r="I519" i="1"/>
  <c r="I516" i="1"/>
  <c r="I515" i="1"/>
  <c r="I514" i="1"/>
  <c r="I513" i="1"/>
  <c r="I512" i="1"/>
  <c r="I511" i="1"/>
  <c r="I510" i="1"/>
  <c r="I509" i="1"/>
  <c r="I508" i="1"/>
  <c r="I507" i="1"/>
  <c r="I506" i="1"/>
  <c r="I504" i="1"/>
  <c r="I503" i="1"/>
  <c r="I502" i="1"/>
  <c r="I501" i="1"/>
  <c r="I500" i="1"/>
  <c r="I499" i="1"/>
  <c r="I498" i="1"/>
  <c r="I497" i="1"/>
  <c r="I496" i="1"/>
  <c r="I495" i="1"/>
  <c r="I493" i="1"/>
  <c r="I490" i="1"/>
  <c r="I489" i="1"/>
  <c r="I488" i="1"/>
  <c r="I487" i="1"/>
  <c r="I486" i="1"/>
  <c r="I485" i="1"/>
  <c r="I484" i="1"/>
  <c r="I483" i="1"/>
  <c r="I482" i="1"/>
  <c r="I481" i="1"/>
  <c r="I480" i="1"/>
  <c r="I478" i="1"/>
  <c r="I477" i="1"/>
  <c r="I476" i="1"/>
  <c r="I475" i="1"/>
  <c r="I474" i="1"/>
  <c r="I473" i="1"/>
  <c r="I472" i="1"/>
  <c r="I471" i="1"/>
  <c r="I470" i="1"/>
  <c r="I469" i="1"/>
  <c r="I466" i="1"/>
  <c r="I465" i="1"/>
  <c r="I464" i="1"/>
  <c r="I463" i="1"/>
  <c r="I462" i="1"/>
  <c r="I461" i="1"/>
  <c r="I460" i="1"/>
  <c r="I459" i="1"/>
  <c r="I458" i="1"/>
  <c r="I457" i="1"/>
  <c r="I456" i="1"/>
  <c r="I454" i="1"/>
  <c r="I453" i="1"/>
  <c r="I452" i="1"/>
  <c r="I451" i="1"/>
  <c r="I450" i="1"/>
  <c r="I449" i="1"/>
  <c r="I448" i="1"/>
  <c r="I447" i="1"/>
  <c r="I446" i="1"/>
  <c r="I445" i="1"/>
  <c r="I444" i="1"/>
  <c r="I442" i="1"/>
  <c r="I441" i="1"/>
  <c r="I440" i="1"/>
  <c r="I439" i="1"/>
  <c r="I438" i="1"/>
  <c r="I437" i="1"/>
  <c r="I436" i="1"/>
  <c r="I435" i="1"/>
  <c r="I434" i="1"/>
  <c r="I433" i="1"/>
  <c r="I431" i="1"/>
  <c r="I429" i="1"/>
  <c r="I418" i="1"/>
  <c r="I416" i="1"/>
  <c r="I414" i="1"/>
  <c r="I412" i="1"/>
  <c r="I390" i="1"/>
  <c r="I391" i="1"/>
  <c r="I392" i="1"/>
  <c r="I393" i="1"/>
  <c r="I398" i="1"/>
  <c r="I397" i="1"/>
  <c r="I396" i="1"/>
  <c r="I395" i="1"/>
  <c r="I394" i="1"/>
  <c r="I388" i="1"/>
  <c r="I376" i="1"/>
  <c r="I377" i="1"/>
  <c r="I378" i="1"/>
  <c r="I379" i="1"/>
  <c r="I380" i="1"/>
  <c r="I381" i="1"/>
  <c r="I382" i="1"/>
  <c r="I383" i="1"/>
  <c r="I384" i="1"/>
  <c r="I370" i="1"/>
  <c r="I369" i="1"/>
  <c r="I368" i="1"/>
  <c r="I367" i="1"/>
  <c r="I366" i="1"/>
  <c r="I365" i="1"/>
  <c r="I364" i="1"/>
  <c r="I363" i="1"/>
  <c r="I362" i="1"/>
  <c r="I356" i="1"/>
  <c r="I355" i="1"/>
  <c r="I354" i="1"/>
  <c r="I353" i="1"/>
  <c r="I352" i="1"/>
  <c r="I351" i="1"/>
  <c r="I350" i="1"/>
  <c r="I349" i="1"/>
  <c r="I348" i="1"/>
  <c r="I333" i="1"/>
  <c r="I334" i="1"/>
  <c r="I335" i="1"/>
  <c r="I336" i="1"/>
  <c r="I337" i="1"/>
  <c r="I338" i="1"/>
  <c r="I339" i="1"/>
  <c r="I340" i="1"/>
  <c r="I341" i="1"/>
  <c r="I342" i="1"/>
  <c r="I320" i="1"/>
  <c r="I321" i="1"/>
  <c r="I322" i="1"/>
  <c r="I323" i="1"/>
  <c r="I151" i="1"/>
  <c r="I324" i="1"/>
  <c r="I325" i="1"/>
  <c r="I326" i="1"/>
  <c r="I327" i="1"/>
  <c r="I328" i="1"/>
  <c r="I314" i="1"/>
  <c r="I313" i="1"/>
  <c r="I312" i="1"/>
  <c r="I311" i="1"/>
  <c r="I310" i="1"/>
  <c r="I309" i="1"/>
  <c r="I308" i="1"/>
  <c r="I307" i="1"/>
  <c r="I306" i="1"/>
  <c r="I304" i="1"/>
  <c r="I292" i="1"/>
  <c r="I293" i="1"/>
  <c r="I294" i="1"/>
  <c r="I295" i="1"/>
  <c r="I296" i="1"/>
  <c r="I297" i="1"/>
  <c r="I298" i="1"/>
  <c r="I299" i="1"/>
  <c r="I300" i="1"/>
  <c r="I290" i="1"/>
  <c r="I286" i="1"/>
  <c r="I285" i="1"/>
  <c r="I284" i="1"/>
  <c r="I283" i="1"/>
  <c r="I282" i="1"/>
  <c r="I281" i="1"/>
  <c r="I280" i="1"/>
  <c r="I279" i="1"/>
  <c r="I278" i="1"/>
  <c r="I192" i="1"/>
  <c r="I276" i="1"/>
  <c r="I272" i="1"/>
  <c r="I271" i="1"/>
  <c r="I270" i="1"/>
  <c r="I269" i="1"/>
  <c r="I268" i="1"/>
  <c r="I267" i="1"/>
  <c r="I266" i="1"/>
  <c r="I265" i="1"/>
  <c r="I264" i="1"/>
  <c r="I263" i="1"/>
  <c r="I262" i="1"/>
  <c r="I248" i="1"/>
  <c r="I249" i="1"/>
  <c r="I250" i="1"/>
  <c r="I251" i="1"/>
  <c r="I252" i="1"/>
  <c r="I253" i="1"/>
  <c r="I254" i="1"/>
  <c r="I255" i="1"/>
  <c r="I256" i="1"/>
  <c r="I257" i="1"/>
  <c r="I258" i="1"/>
  <c r="I244" i="1"/>
  <c r="I243" i="1"/>
  <c r="I242" i="1"/>
  <c r="I241" i="1"/>
  <c r="I240" i="1"/>
  <c r="I239" i="1"/>
  <c r="I238" i="1"/>
  <c r="I237" i="1"/>
  <c r="I236" i="1"/>
  <c r="I235" i="1"/>
  <c r="I234" i="1"/>
  <c r="I220" i="1"/>
  <c r="I206" i="1"/>
  <c r="I202" i="1"/>
  <c r="I201" i="1"/>
  <c r="I200" i="1"/>
  <c r="I199" i="1"/>
  <c r="I198" i="1"/>
  <c r="I197" i="1"/>
  <c r="I196" i="1"/>
  <c r="I195" i="1"/>
  <c r="I194" i="1"/>
  <c r="I193" i="1"/>
  <c r="I188" i="1"/>
  <c r="I187" i="1"/>
  <c r="I186" i="1"/>
  <c r="I185" i="1"/>
  <c r="I184" i="1"/>
  <c r="I183" i="1"/>
  <c r="I182" i="1"/>
  <c r="I181" i="1"/>
  <c r="I180" i="1"/>
  <c r="I179" i="1"/>
  <c r="I178" i="1"/>
  <c r="I164" i="1"/>
  <c r="I156" i="1"/>
  <c r="I155" i="1"/>
  <c r="I154" i="1"/>
  <c r="I153" i="1"/>
  <c r="I152" i="1"/>
  <c r="I150" i="1"/>
  <c r="I147" i="1"/>
  <c r="I149" i="1"/>
  <c r="I148" i="1"/>
  <c r="I146" i="1"/>
  <c r="I145" i="1"/>
  <c r="I140" i="1"/>
  <c r="I139" i="1"/>
  <c r="I137" i="1"/>
  <c r="I136" i="1"/>
  <c r="I135" i="1"/>
  <c r="I134" i="1"/>
  <c r="I132" i="1"/>
  <c r="I131" i="1"/>
  <c r="I14" i="1"/>
  <c r="I28" i="1"/>
  <c r="I75" i="1"/>
  <c r="I80" i="1"/>
  <c r="I82" i="1"/>
  <c r="I79" i="1"/>
  <c r="I74" i="1"/>
  <c r="I29" i="1"/>
  <c r="I30" i="1"/>
  <c r="I48" i="1"/>
  <c r="I53" i="1"/>
  <c r="I49" i="1"/>
  <c r="I44" i="1"/>
  <c r="I51" i="1"/>
  <c r="I52" i="1"/>
  <c r="I45" i="1"/>
  <c r="I56" i="1"/>
  <c r="I60" i="1"/>
  <c r="I55" i="1"/>
  <c r="I58" i="1"/>
  <c r="I125" i="1"/>
  <c r="I124" i="1"/>
  <c r="I123" i="1"/>
  <c r="I120" i="1"/>
  <c r="I119" i="1"/>
  <c r="I118" i="1"/>
  <c r="I116" i="1"/>
  <c r="I115" i="1"/>
  <c r="I112" i="1"/>
  <c r="I113" i="1"/>
  <c r="I109" i="1"/>
  <c r="I108" i="1"/>
  <c r="I107" i="1"/>
  <c r="I105" i="1"/>
  <c r="I104" i="1"/>
  <c r="I103" i="1"/>
  <c r="I102" i="1"/>
  <c r="I101" i="1"/>
  <c r="I97" i="1"/>
  <c r="I96" i="1"/>
  <c r="I95" i="1"/>
  <c r="I88" i="1"/>
  <c r="I87" i="1"/>
  <c r="I86" i="1"/>
  <c r="I85" i="1"/>
  <c r="I77" i="1"/>
  <c r="I71" i="1"/>
  <c r="I63" i="1"/>
  <c r="I68" i="1"/>
  <c r="I65" i="1"/>
  <c r="I37" i="1"/>
  <c r="I36" i="1"/>
  <c r="I35" i="1"/>
  <c r="I34" i="1"/>
  <c r="I33" i="1"/>
  <c r="I32" i="1"/>
  <c r="I25" i="1"/>
  <c r="I13" i="1"/>
  <c r="H896" i="1"/>
  <c r="H762" i="1"/>
  <c r="H757" i="1"/>
  <c r="H160" i="1"/>
  <c r="H374" i="1"/>
  <c r="H389" i="1"/>
  <c r="H375" i="1"/>
  <c r="H291" i="1"/>
  <c r="H277" i="1"/>
  <c r="H705" i="1"/>
  <c r="H716" i="1"/>
  <c r="H717" i="1"/>
  <c r="H718" i="1"/>
  <c r="H719" i="1"/>
  <c r="H720" i="1"/>
  <c r="H721" i="1"/>
  <c r="H722" i="1"/>
  <c r="H723" i="1"/>
  <c r="H724" i="1"/>
  <c r="H725" i="1"/>
  <c r="H726" i="1"/>
  <c r="H714" i="1"/>
  <c r="H711" i="1"/>
  <c r="H709" i="1"/>
  <c r="H346" i="1"/>
  <c r="H360" i="1"/>
  <c r="H361" i="1"/>
  <c r="H347" i="1"/>
  <c r="H332" i="1"/>
  <c r="H318" i="1"/>
  <c r="H161" i="1"/>
  <c r="H319" i="1"/>
  <c r="H305" i="1"/>
  <c r="H815" i="1"/>
  <c r="H680" i="1"/>
  <c r="H604" i="1"/>
  <c r="H603" i="1"/>
  <c r="H601" i="1"/>
  <c r="H612" i="1"/>
  <c r="H618" i="1"/>
  <c r="H607" i="1"/>
  <c r="H629" i="1"/>
  <c r="H622" i="1"/>
  <c r="H625" i="1"/>
  <c r="H623" i="1"/>
  <c r="H627" i="1"/>
  <c r="H802" i="1"/>
  <c r="H800" i="1"/>
  <c r="H547" i="1"/>
  <c r="H424" i="1"/>
  <c r="H557" i="1"/>
  <c r="H551" i="1"/>
  <c r="H753" i="1"/>
  <c r="H744" i="1"/>
  <c r="H743" i="1"/>
  <c r="H742" i="1"/>
  <c r="H738" i="1"/>
  <c r="H737" i="1"/>
  <c r="H736" i="1"/>
  <c r="H732" i="1"/>
  <c r="H731" i="1"/>
  <c r="H730" i="1"/>
  <c r="H713" i="1"/>
  <c r="H708" i="1"/>
  <c r="H707" i="1"/>
  <c r="H701" i="1"/>
  <c r="H700" i="1"/>
  <c r="H699" i="1"/>
  <c r="H695" i="1"/>
  <c r="H693" i="1"/>
  <c r="H692" i="1"/>
  <c r="H691" i="1"/>
  <c r="H690" i="1"/>
  <c r="H688" i="1"/>
  <c r="H687" i="1"/>
  <c r="H685" i="1"/>
  <c r="H684" i="1"/>
  <c r="H683" i="1"/>
  <c r="H681" i="1"/>
  <c r="H678" i="1"/>
  <c r="H677" i="1"/>
  <c r="H676" i="1"/>
  <c r="H675" i="1"/>
  <c r="H673" i="1"/>
  <c r="H669" i="1"/>
  <c r="H666" i="1"/>
  <c r="H665" i="1"/>
  <c r="H663" i="1"/>
  <c r="H649" i="1"/>
  <c r="H643" i="1"/>
  <c r="H639" i="1"/>
  <c r="H638" i="1"/>
  <c r="H637" i="1"/>
  <c r="H636" i="1"/>
  <c r="H635" i="1"/>
  <c r="H634" i="1"/>
  <c r="H631" i="1"/>
  <c r="H606" i="1"/>
  <c r="H628" i="1"/>
  <c r="H624" i="1"/>
  <c r="H621" i="1"/>
  <c r="H609" i="1"/>
  <c r="H598" i="1"/>
  <c r="H597" i="1"/>
  <c r="H596" i="1"/>
  <c r="H595" i="1"/>
  <c r="H592" i="1"/>
  <c r="H591" i="1"/>
  <c r="H590" i="1"/>
  <c r="H589" i="1"/>
  <c r="H588" i="1"/>
  <c r="H587" i="1"/>
  <c r="H586" i="1"/>
  <c r="H585" i="1"/>
  <c r="H582" i="1"/>
  <c r="H581" i="1"/>
  <c r="H576" i="1"/>
  <c r="H572" i="1"/>
  <c r="H571" i="1"/>
  <c r="H561" i="1"/>
  <c r="H560" i="1"/>
  <c r="H546" i="1"/>
  <c r="H543" i="1"/>
  <c r="H540" i="1"/>
  <c r="H539" i="1"/>
  <c r="H538" i="1"/>
  <c r="H537" i="1"/>
  <c r="H536" i="1"/>
  <c r="H535" i="1"/>
  <c r="H534" i="1"/>
  <c r="H533" i="1"/>
  <c r="H532" i="1"/>
  <c r="H531" i="1"/>
  <c r="H530" i="1"/>
  <c r="H528" i="1"/>
  <c r="H527" i="1"/>
  <c r="H526" i="1"/>
  <c r="H525" i="1"/>
  <c r="H524" i="1"/>
  <c r="H523" i="1"/>
  <c r="H522" i="1"/>
  <c r="H521" i="1"/>
  <c r="H520" i="1"/>
  <c r="H519" i="1"/>
  <c r="H516" i="1"/>
  <c r="H515" i="1"/>
  <c r="H514" i="1"/>
  <c r="H513" i="1"/>
  <c r="H512" i="1"/>
  <c r="H511" i="1"/>
  <c r="H510" i="1"/>
  <c r="H509" i="1"/>
  <c r="H508" i="1"/>
  <c r="H507" i="1"/>
  <c r="H506" i="1"/>
  <c r="H504" i="1"/>
  <c r="H503" i="1"/>
  <c r="H502" i="1"/>
  <c r="H501" i="1"/>
  <c r="H500" i="1"/>
  <c r="H499" i="1"/>
  <c r="H498" i="1"/>
  <c r="H497" i="1"/>
  <c r="H496" i="1"/>
  <c r="H495" i="1"/>
  <c r="H493" i="1"/>
  <c r="H490" i="1"/>
  <c r="H489" i="1"/>
  <c r="H488" i="1"/>
  <c r="H487" i="1"/>
  <c r="H486" i="1"/>
  <c r="H485" i="1"/>
  <c r="H484" i="1"/>
  <c r="H483" i="1"/>
  <c r="H482" i="1"/>
  <c r="H481" i="1"/>
  <c r="H480" i="1"/>
  <c r="H478" i="1"/>
  <c r="H477" i="1"/>
  <c r="H476" i="1"/>
  <c r="H475" i="1"/>
  <c r="H474" i="1"/>
  <c r="H473" i="1"/>
  <c r="H472" i="1"/>
  <c r="H471" i="1"/>
  <c r="H470" i="1"/>
  <c r="H469" i="1"/>
  <c r="H466" i="1"/>
  <c r="H465" i="1"/>
  <c r="H464" i="1"/>
  <c r="H463" i="1"/>
  <c r="H462" i="1"/>
  <c r="H461" i="1"/>
  <c r="H460" i="1"/>
  <c r="H459" i="1"/>
  <c r="H458" i="1"/>
  <c r="H457" i="1"/>
  <c r="H456" i="1"/>
  <c r="H454" i="1"/>
  <c r="H453" i="1"/>
  <c r="H452" i="1"/>
  <c r="H451" i="1"/>
  <c r="H450" i="1"/>
  <c r="H449" i="1"/>
  <c r="H448" i="1"/>
  <c r="H447" i="1"/>
  <c r="H446" i="1"/>
  <c r="H445" i="1"/>
  <c r="H444" i="1"/>
  <c r="H442" i="1"/>
  <c r="H441" i="1"/>
  <c r="H440" i="1"/>
  <c r="H439" i="1"/>
  <c r="H438" i="1"/>
  <c r="H437" i="1"/>
  <c r="H436" i="1"/>
  <c r="H435" i="1"/>
  <c r="H434" i="1"/>
  <c r="H433" i="1"/>
  <c r="H431" i="1"/>
  <c r="H429" i="1"/>
  <c r="H418" i="1"/>
  <c r="H416" i="1"/>
  <c r="H414" i="1"/>
  <c r="H412" i="1"/>
  <c r="H390" i="1"/>
  <c r="H391" i="1"/>
  <c r="H392" i="1"/>
  <c r="H393" i="1"/>
  <c r="H398" i="1"/>
  <c r="H397" i="1"/>
  <c r="H396" i="1"/>
  <c r="H395" i="1"/>
  <c r="H394" i="1"/>
  <c r="H388" i="1"/>
  <c r="H376" i="1"/>
  <c r="H377" i="1"/>
  <c r="H378" i="1"/>
  <c r="H379" i="1"/>
  <c r="H380" i="1"/>
  <c r="H381" i="1"/>
  <c r="H382" i="1"/>
  <c r="H383" i="1"/>
  <c r="H384" i="1"/>
  <c r="H370" i="1"/>
  <c r="H369" i="1"/>
  <c r="H368" i="1"/>
  <c r="H367" i="1"/>
  <c r="H366" i="1"/>
  <c r="H365" i="1"/>
  <c r="H364" i="1"/>
  <c r="H363" i="1"/>
  <c r="H362" i="1"/>
  <c r="H356" i="1"/>
  <c r="H355" i="1"/>
  <c r="H354" i="1"/>
  <c r="H353" i="1"/>
  <c r="H352" i="1"/>
  <c r="H351" i="1"/>
  <c r="H350" i="1"/>
  <c r="H349" i="1"/>
  <c r="H348" i="1"/>
  <c r="H333" i="1"/>
  <c r="H334" i="1"/>
  <c r="H335" i="1"/>
  <c r="H336" i="1"/>
  <c r="H337" i="1"/>
  <c r="H338" i="1"/>
  <c r="H339" i="1"/>
  <c r="H340" i="1"/>
  <c r="H341" i="1"/>
  <c r="H342" i="1"/>
  <c r="H320" i="1"/>
  <c r="H321" i="1"/>
  <c r="H322" i="1"/>
  <c r="H323" i="1"/>
  <c r="H151" i="1"/>
  <c r="H324" i="1"/>
  <c r="H325" i="1"/>
  <c r="H326" i="1"/>
  <c r="H327" i="1"/>
  <c r="H328" i="1"/>
  <c r="H314" i="1"/>
  <c r="H313" i="1"/>
  <c r="H312" i="1"/>
  <c r="H311" i="1"/>
  <c r="H310" i="1"/>
  <c r="H309" i="1"/>
  <c r="H308" i="1"/>
  <c r="H307" i="1"/>
  <c r="H306" i="1"/>
  <c r="H304" i="1"/>
  <c r="H292" i="1"/>
  <c r="H293" i="1"/>
  <c r="H294" i="1"/>
  <c r="H295" i="1"/>
  <c r="H296" i="1"/>
  <c r="H297" i="1"/>
  <c r="H298" i="1"/>
  <c r="H299" i="1"/>
  <c r="H300" i="1"/>
  <c r="H290" i="1"/>
  <c r="H286" i="1"/>
  <c r="H285" i="1"/>
  <c r="H284" i="1"/>
  <c r="H283" i="1"/>
  <c r="H282" i="1"/>
  <c r="H281" i="1"/>
  <c r="H280" i="1"/>
  <c r="H279" i="1"/>
  <c r="H278" i="1"/>
  <c r="H192" i="1"/>
  <c r="H276" i="1"/>
  <c r="H272" i="1"/>
  <c r="H271" i="1"/>
  <c r="H270" i="1"/>
  <c r="H269" i="1"/>
  <c r="H268" i="1"/>
  <c r="H267" i="1"/>
  <c r="H266" i="1"/>
  <c r="H265" i="1"/>
  <c r="H264" i="1"/>
  <c r="H263" i="1"/>
  <c r="H262" i="1"/>
  <c r="H248" i="1"/>
  <c r="H249" i="1"/>
  <c r="H250" i="1"/>
  <c r="H251" i="1"/>
  <c r="H252" i="1"/>
  <c r="H253" i="1"/>
  <c r="H254" i="1"/>
  <c r="H255" i="1"/>
  <c r="H256" i="1"/>
  <c r="H257" i="1"/>
  <c r="H258" i="1"/>
  <c r="H244" i="1"/>
  <c r="H243" i="1"/>
  <c r="H242" i="1"/>
  <c r="H241" i="1"/>
  <c r="H240" i="1"/>
  <c r="H239" i="1"/>
  <c r="H238" i="1"/>
  <c r="H237" i="1"/>
  <c r="H236" i="1"/>
  <c r="H235" i="1"/>
  <c r="H234" i="1"/>
  <c r="H220" i="1"/>
  <c r="H206" i="1"/>
  <c r="H202" i="1"/>
  <c r="H201" i="1"/>
  <c r="H200" i="1"/>
  <c r="H199" i="1"/>
  <c r="H198" i="1"/>
  <c r="H197" i="1"/>
  <c r="H196" i="1"/>
  <c r="H195" i="1"/>
  <c r="H194" i="1"/>
  <c r="H193" i="1"/>
  <c r="H188" i="1"/>
  <c r="H187" i="1"/>
  <c r="H186" i="1"/>
  <c r="H185" i="1"/>
  <c r="H184" i="1"/>
  <c r="H183" i="1"/>
  <c r="H182" i="1"/>
  <c r="H181" i="1"/>
  <c r="H180" i="1"/>
  <c r="H179" i="1"/>
  <c r="H178" i="1"/>
  <c r="H164" i="1"/>
  <c r="H156" i="1"/>
  <c r="H155" i="1"/>
  <c r="H154" i="1"/>
  <c r="H153" i="1"/>
  <c r="H152" i="1"/>
  <c r="H150" i="1"/>
  <c r="H146" i="1"/>
  <c r="H140" i="1"/>
  <c r="H137" i="1"/>
  <c r="H136" i="1"/>
  <c r="H135" i="1"/>
  <c r="H134" i="1"/>
  <c r="H132" i="1"/>
  <c r="H131" i="1"/>
  <c r="H14" i="1"/>
  <c r="H28" i="1"/>
  <c r="H75" i="1"/>
  <c r="H80" i="1"/>
  <c r="H82" i="1"/>
  <c r="H79" i="1"/>
  <c r="H74" i="1"/>
  <c r="H29" i="1"/>
  <c r="H30" i="1"/>
  <c r="H48" i="1"/>
  <c r="H53" i="1"/>
  <c r="H49" i="1"/>
  <c r="H44" i="1"/>
  <c r="H51" i="1"/>
  <c r="H52" i="1"/>
  <c r="H45" i="1"/>
  <c r="H56" i="1"/>
  <c r="H60" i="1"/>
  <c r="H55" i="1"/>
  <c r="H58" i="1"/>
  <c r="H125" i="1"/>
  <c r="H124" i="1"/>
  <c r="H123" i="1"/>
  <c r="H120" i="1"/>
  <c r="H119" i="1"/>
  <c r="H116" i="1"/>
  <c r="H115" i="1"/>
  <c r="H109" i="1"/>
  <c r="H107" i="1"/>
  <c r="H105" i="1"/>
  <c r="H104" i="1"/>
  <c r="H103" i="1"/>
  <c r="H96" i="1"/>
  <c r="H88" i="1"/>
  <c r="H87" i="1"/>
  <c r="H86" i="1"/>
  <c r="H85" i="1"/>
  <c r="H77" i="1"/>
  <c r="H71" i="1"/>
  <c r="H63" i="1"/>
  <c r="H68" i="1"/>
  <c r="H65" i="1"/>
  <c r="H37" i="1"/>
  <c r="H36" i="1"/>
  <c r="H35" i="1"/>
  <c r="H34" i="1"/>
  <c r="H33" i="1"/>
  <c r="H32" i="1"/>
  <c r="H25" i="1"/>
  <c r="H13" i="1"/>
  <c r="G896" i="1"/>
  <c r="G762" i="1"/>
  <c r="G757" i="1"/>
  <c r="G160" i="1"/>
  <c r="G374" i="1"/>
  <c r="G389" i="1"/>
  <c r="G375" i="1"/>
  <c r="G291" i="1"/>
  <c r="G277" i="1"/>
  <c r="G705" i="1"/>
  <c r="G716" i="1"/>
  <c r="G717" i="1"/>
  <c r="G718" i="1"/>
  <c r="G719" i="1"/>
  <c r="G720" i="1"/>
  <c r="G721" i="1"/>
  <c r="G722" i="1"/>
  <c r="G723" i="1"/>
  <c r="G724" i="1"/>
  <c r="G725" i="1"/>
  <c r="G726" i="1"/>
  <c r="G714" i="1"/>
  <c r="G711" i="1"/>
  <c r="G709" i="1"/>
  <c r="G346" i="1"/>
  <c r="G360" i="1"/>
  <c r="G361" i="1"/>
  <c r="G347" i="1"/>
  <c r="G332" i="1"/>
  <c r="G161" i="1"/>
  <c r="G318" i="1"/>
  <c r="G319" i="1"/>
  <c r="G305" i="1"/>
  <c r="G815" i="1"/>
  <c r="G680" i="1"/>
  <c r="G604" i="1"/>
  <c r="G603" i="1"/>
  <c r="G601" i="1"/>
  <c r="G612" i="1"/>
  <c r="G618" i="1"/>
  <c r="G607" i="1"/>
  <c r="G629" i="1"/>
  <c r="G622" i="1"/>
  <c r="G625" i="1"/>
  <c r="G623" i="1"/>
  <c r="G627" i="1"/>
  <c r="G802" i="1"/>
  <c r="G800" i="1"/>
  <c r="G547" i="1"/>
  <c r="G424" i="1"/>
  <c r="G557" i="1"/>
  <c r="G551" i="1"/>
  <c r="G753" i="1"/>
  <c r="G744" i="1"/>
  <c r="G743" i="1"/>
  <c r="G742" i="1"/>
  <c r="G738" i="1"/>
  <c r="G737" i="1"/>
  <c r="G736" i="1"/>
  <c r="G732" i="1"/>
  <c r="G731" i="1"/>
  <c r="G730" i="1"/>
  <c r="G713" i="1"/>
  <c r="G708" i="1"/>
  <c r="G707" i="1"/>
  <c r="G701" i="1"/>
  <c r="G700" i="1"/>
  <c r="G699" i="1"/>
  <c r="G695" i="1"/>
  <c r="G693" i="1"/>
  <c r="G692" i="1"/>
  <c r="G691" i="1"/>
  <c r="G690" i="1"/>
  <c r="G688" i="1"/>
  <c r="G687" i="1"/>
  <c r="G685" i="1"/>
  <c r="G684" i="1"/>
  <c r="G683" i="1"/>
  <c r="G681" i="1"/>
  <c r="G678" i="1"/>
  <c r="G677" i="1"/>
  <c r="G676" i="1"/>
  <c r="G675" i="1"/>
  <c r="G673" i="1"/>
  <c r="G669" i="1"/>
  <c r="G666" i="1"/>
  <c r="G665" i="1"/>
  <c r="G663" i="1"/>
  <c r="G649" i="1"/>
  <c r="G643" i="1"/>
  <c r="G639" i="1"/>
  <c r="G638" i="1"/>
  <c r="G637" i="1"/>
  <c r="G636" i="1"/>
  <c r="G635" i="1"/>
  <c r="G634" i="1"/>
  <c r="G631" i="1"/>
  <c r="G606" i="1"/>
  <c r="G628" i="1"/>
  <c r="G624" i="1"/>
  <c r="G621" i="1"/>
  <c r="G609" i="1"/>
  <c r="G598" i="1"/>
  <c r="G597" i="1"/>
  <c r="G596" i="1"/>
  <c r="G595" i="1"/>
  <c r="G592" i="1"/>
  <c r="G591" i="1"/>
  <c r="G590" i="1"/>
  <c r="G589" i="1"/>
  <c r="G588" i="1"/>
  <c r="G587" i="1"/>
  <c r="G586" i="1"/>
  <c r="G585" i="1"/>
  <c r="G582" i="1"/>
  <c r="G581" i="1"/>
  <c r="G576" i="1"/>
  <c r="G572" i="1"/>
  <c r="G571" i="1"/>
  <c r="G561" i="1"/>
  <c r="G560" i="1"/>
  <c r="G546" i="1"/>
  <c r="G543" i="1"/>
  <c r="G540" i="1"/>
  <c r="G539" i="1"/>
  <c r="G538" i="1"/>
  <c r="G537" i="1"/>
  <c r="G536" i="1"/>
  <c r="G535" i="1"/>
  <c r="G534" i="1"/>
  <c r="G533" i="1"/>
  <c r="G532" i="1"/>
  <c r="G531" i="1"/>
  <c r="G530" i="1"/>
  <c r="G528" i="1"/>
  <c r="G527" i="1"/>
  <c r="G526" i="1"/>
  <c r="G525" i="1"/>
  <c r="G524" i="1"/>
  <c r="G523" i="1"/>
  <c r="G522" i="1"/>
  <c r="G521" i="1"/>
  <c r="G520" i="1"/>
  <c r="G519" i="1"/>
  <c r="G516" i="1"/>
  <c r="G515" i="1"/>
  <c r="G514" i="1"/>
  <c r="G513" i="1"/>
  <c r="G512" i="1"/>
  <c r="G511" i="1"/>
  <c r="G510" i="1"/>
  <c r="G509" i="1"/>
  <c r="G508" i="1"/>
  <c r="G507" i="1"/>
  <c r="G506" i="1"/>
  <c r="G504" i="1"/>
  <c r="G503" i="1"/>
  <c r="G502" i="1"/>
  <c r="G501" i="1"/>
  <c r="G500" i="1"/>
  <c r="G499" i="1"/>
  <c r="G498" i="1"/>
  <c r="G497" i="1"/>
  <c r="G496" i="1"/>
  <c r="G495" i="1"/>
  <c r="G493" i="1"/>
  <c r="G490" i="1"/>
  <c r="G489" i="1"/>
  <c r="G488" i="1"/>
  <c r="G487" i="1"/>
  <c r="G486" i="1"/>
  <c r="G485" i="1"/>
  <c r="G484" i="1"/>
  <c r="G483" i="1"/>
  <c r="G482" i="1"/>
  <c r="G481" i="1"/>
  <c r="G480" i="1"/>
  <c r="G478" i="1"/>
  <c r="G477" i="1"/>
  <c r="G476" i="1"/>
  <c r="G475" i="1"/>
  <c r="G474" i="1"/>
  <c r="G473" i="1"/>
  <c r="G472" i="1"/>
  <c r="G471" i="1"/>
  <c r="G470" i="1"/>
  <c r="G469" i="1"/>
  <c r="G466" i="1"/>
  <c r="G465" i="1"/>
  <c r="G464" i="1"/>
  <c r="G463" i="1"/>
  <c r="G462" i="1"/>
  <c r="G461" i="1"/>
  <c r="G460" i="1"/>
  <c r="G459" i="1"/>
  <c r="G458" i="1"/>
  <c r="G457" i="1"/>
  <c r="G456" i="1"/>
  <c r="G454" i="1"/>
  <c r="G453" i="1"/>
  <c r="G452" i="1"/>
  <c r="G451" i="1"/>
  <c r="G450" i="1"/>
  <c r="G449" i="1"/>
  <c r="G448" i="1"/>
  <c r="G447" i="1"/>
  <c r="G446" i="1"/>
  <c r="G445" i="1"/>
  <c r="G444" i="1"/>
  <c r="G442" i="1"/>
  <c r="G441" i="1"/>
  <c r="G440" i="1"/>
  <c r="G439" i="1"/>
  <c r="G438" i="1"/>
  <c r="G437" i="1"/>
  <c r="G436" i="1"/>
  <c r="G435" i="1"/>
  <c r="G434" i="1"/>
  <c r="G433" i="1"/>
  <c r="G431" i="1"/>
  <c r="G429" i="1"/>
  <c r="G418" i="1"/>
  <c r="G416" i="1"/>
  <c r="G414" i="1"/>
  <c r="G412" i="1"/>
  <c r="G390" i="1"/>
  <c r="G391" i="1"/>
  <c r="G392" i="1"/>
  <c r="G393" i="1"/>
  <c r="G398" i="1"/>
  <c r="G397" i="1"/>
  <c r="G396" i="1"/>
  <c r="G395" i="1"/>
  <c r="G394" i="1"/>
  <c r="G388" i="1"/>
  <c r="G376" i="1"/>
  <c r="G377" i="1"/>
  <c r="G378" i="1"/>
  <c r="G379" i="1"/>
  <c r="G380" i="1"/>
  <c r="G381" i="1"/>
  <c r="G382" i="1"/>
  <c r="G383" i="1"/>
  <c r="G384" i="1"/>
  <c r="G370" i="1"/>
  <c r="G369" i="1"/>
  <c r="G368" i="1"/>
  <c r="G367" i="1"/>
  <c r="G366" i="1"/>
  <c r="G365" i="1"/>
  <c r="G364" i="1"/>
  <c r="G363" i="1"/>
  <c r="G362" i="1"/>
  <c r="G356" i="1"/>
  <c r="G355" i="1"/>
  <c r="G354" i="1"/>
  <c r="G353" i="1"/>
  <c r="G352" i="1"/>
  <c r="G351" i="1"/>
  <c r="G350" i="1"/>
  <c r="G349" i="1"/>
  <c r="G348" i="1"/>
  <c r="G333" i="1"/>
  <c r="G334" i="1"/>
  <c r="G335" i="1"/>
  <c r="G336" i="1"/>
  <c r="G337" i="1"/>
  <c r="G338" i="1"/>
  <c r="G339" i="1"/>
  <c r="G340" i="1"/>
  <c r="G341" i="1"/>
  <c r="G342" i="1"/>
  <c r="G320" i="1"/>
  <c r="G321" i="1"/>
  <c r="G322" i="1"/>
  <c r="G323" i="1"/>
  <c r="G151" i="1"/>
  <c r="G324" i="1"/>
  <c r="G325" i="1"/>
  <c r="G326" i="1"/>
  <c r="G327" i="1"/>
  <c r="G328" i="1"/>
  <c r="G314" i="1"/>
  <c r="G313" i="1"/>
  <c r="G312" i="1"/>
  <c r="G311" i="1"/>
  <c r="G310" i="1"/>
  <c r="G309" i="1"/>
  <c r="G308" i="1"/>
  <c r="G307" i="1"/>
  <c r="G306" i="1"/>
  <c r="G304" i="1"/>
  <c r="G292" i="1"/>
  <c r="G293" i="1"/>
  <c r="G294" i="1"/>
  <c r="G295" i="1"/>
  <c r="G296" i="1"/>
  <c r="G297" i="1"/>
  <c r="G298" i="1"/>
  <c r="G299" i="1"/>
  <c r="G300" i="1"/>
  <c r="G290" i="1"/>
  <c r="G286" i="1"/>
  <c r="G285" i="1"/>
  <c r="G284" i="1"/>
  <c r="G283" i="1"/>
  <c r="G282" i="1"/>
  <c r="G281" i="1"/>
  <c r="G280" i="1"/>
  <c r="G279" i="1"/>
  <c r="G278" i="1"/>
  <c r="G192" i="1"/>
  <c r="G276" i="1"/>
  <c r="G272" i="1"/>
  <c r="G271" i="1"/>
  <c r="G270" i="1"/>
  <c r="G269" i="1"/>
  <c r="G268" i="1"/>
  <c r="G267" i="1"/>
  <c r="G266" i="1"/>
  <c r="G265" i="1"/>
  <c r="G264" i="1"/>
  <c r="G263" i="1"/>
  <c r="G262" i="1"/>
  <c r="G248" i="1"/>
  <c r="G249" i="1"/>
  <c r="G250" i="1"/>
  <c r="G251" i="1"/>
  <c r="G252" i="1"/>
  <c r="G253" i="1"/>
  <c r="G254" i="1"/>
  <c r="G255" i="1"/>
  <c r="G256" i="1"/>
  <c r="G257" i="1"/>
  <c r="G258" i="1"/>
  <c r="G244" i="1"/>
  <c r="G243" i="1"/>
  <c r="G242" i="1"/>
  <c r="G241" i="1"/>
  <c r="G240" i="1"/>
  <c r="G239" i="1"/>
  <c r="G238" i="1"/>
  <c r="G237" i="1"/>
  <c r="G236" i="1"/>
  <c r="G235" i="1"/>
  <c r="G234" i="1"/>
  <c r="G220" i="1"/>
  <c r="G206" i="1"/>
  <c r="G202" i="1"/>
  <c r="G201" i="1"/>
  <c r="G200" i="1"/>
  <c r="G199" i="1"/>
  <c r="G198" i="1"/>
  <c r="G197" i="1"/>
  <c r="G196" i="1"/>
  <c r="G195" i="1"/>
  <c r="G194" i="1"/>
  <c r="G193" i="1"/>
  <c r="G188" i="1"/>
  <c r="G187" i="1"/>
  <c r="G186" i="1"/>
  <c r="G185" i="1"/>
  <c r="G184" i="1"/>
  <c r="G183" i="1"/>
  <c r="G182" i="1"/>
  <c r="G181" i="1"/>
  <c r="G180" i="1"/>
  <c r="G179" i="1"/>
  <c r="G178" i="1"/>
  <c r="G164" i="1"/>
  <c r="G156" i="1"/>
  <c r="G155" i="1"/>
  <c r="G154" i="1"/>
  <c r="G153" i="1"/>
  <c r="G152" i="1"/>
  <c r="G150" i="1"/>
  <c r="G147" i="1"/>
  <c r="G149" i="1"/>
  <c r="G148" i="1"/>
  <c r="G146" i="1"/>
  <c r="G145" i="1"/>
  <c r="G140" i="1"/>
  <c r="G139" i="1"/>
  <c r="G137" i="1"/>
  <c r="G136" i="1"/>
  <c r="G135" i="1"/>
  <c r="G134" i="1"/>
  <c r="G132" i="1"/>
  <c r="G131" i="1"/>
  <c r="G14" i="1"/>
  <c r="G28" i="1"/>
  <c r="G75" i="1"/>
  <c r="G80" i="1"/>
  <c r="G82" i="1"/>
  <c r="G79" i="1"/>
  <c r="G74" i="1"/>
  <c r="G29" i="1"/>
  <c r="G30" i="1"/>
  <c r="G48" i="1"/>
  <c r="G53" i="1"/>
  <c r="G49" i="1"/>
  <c r="G44" i="1"/>
  <c r="G51" i="1"/>
  <c r="G52" i="1"/>
  <c r="G45" i="1"/>
  <c r="G56" i="1"/>
  <c r="G60" i="1"/>
  <c r="G55" i="1"/>
  <c r="G58" i="1"/>
  <c r="G125" i="1"/>
  <c r="G124" i="1"/>
  <c r="G123" i="1"/>
  <c r="G120" i="1"/>
  <c r="G119" i="1"/>
  <c r="G118" i="1"/>
  <c r="G116" i="1"/>
  <c r="G115" i="1"/>
  <c r="G112" i="1"/>
  <c r="G113" i="1"/>
  <c r="G109" i="1"/>
  <c r="G108" i="1"/>
  <c r="G107" i="1"/>
  <c r="G105" i="1"/>
  <c r="G104" i="1"/>
  <c r="G103" i="1"/>
  <c r="G102" i="1"/>
  <c r="G101" i="1"/>
  <c r="G97" i="1"/>
  <c r="G96" i="1"/>
  <c r="G95" i="1"/>
  <c r="G88" i="1"/>
  <c r="G87" i="1"/>
  <c r="G86" i="1"/>
  <c r="G85" i="1"/>
  <c r="G77" i="1"/>
  <c r="G71" i="1"/>
  <c r="G63" i="1"/>
  <c r="G68" i="1"/>
  <c r="G65" i="1"/>
  <c r="G37" i="1"/>
  <c r="G36" i="1"/>
  <c r="G35" i="1"/>
  <c r="G34" i="1"/>
  <c r="G33" i="1"/>
  <c r="G32" i="1"/>
  <c r="G25" i="1"/>
  <c r="G13" i="1"/>
  <c r="F896" i="1"/>
  <c r="F762" i="1"/>
  <c r="F757" i="1"/>
  <c r="F160" i="1"/>
  <c r="F374" i="1"/>
  <c r="F389" i="1"/>
  <c r="F375" i="1"/>
  <c r="F291" i="1"/>
  <c r="F277" i="1"/>
  <c r="F705" i="1"/>
  <c r="F716" i="1"/>
  <c r="F717" i="1"/>
  <c r="F718" i="1"/>
  <c r="F719" i="1"/>
  <c r="F720" i="1"/>
  <c r="F721" i="1"/>
  <c r="F722" i="1"/>
  <c r="F723" i="1"/>
  <c r="F724" i="1"/>
  <c r="F725" i="1"/>
  <c r="F726" i="1"/>
  <c r="F714" i="1"/>
  <c r="F711" i="1"/>
  <c r="F709" i="1"/>
  <c r="F346" i="1"/>
  <c r="F360" i="1"/>
  <c r="F361" i="1"/>
  <c r="F347" i="1"/>
  <c r="F332" i="1"/>
  <c r="F318" i="1"/>
  <c r="F161" i="1"/>
  <c r="F319" i="1"/>
  <c r="F305" i="1"/>
  <c r="F815" i="1"/>
  <c r="F680" i="1"/>
  <c r="F604" i="1"/>
  <c r="F603" i="1"/>
  <c r="F601" i="1"/>
  <c r="F612" i="1"/>
  <c r="F618" i="1"/>
  <c r="F607" i="1"/>
  <c r="F629" i="1"/>
  <c r="F622" i="1"/>
  <c r="F625" i="1"/>
  <c r="F623" i="1"/>
  <c r="F627" i="1"/>
  <c r="F802" i="1"/>
  <c r="F800" i="1"/>
  <c r="F547" i="1"/>
  <c r="F424" i="1"/>
  <c r="F557" i="1"/>
  <c r="F551" i="1"/>
  <c r="F753" i="1"/>
  <c r="F744" i="1"/>
  <c r="F743" i="1"/>
  <c r="F742" i="1"/>
  <c r="F738" i="1"/>
  <c r="F737" i="1"/>
  <c r="F736" i="1"/>
  <c r="F732" i="1"/>
  <c r="F731" i="1"/>
  <c r="F730" i="1"/>
  <c r="F713" i="1"/>
  <c r="F708" i="1"/>
  <c r="F707" i="1"/>
  <c r="F701" i="1"/>
  <c r="F700" i="1"/>
  <c r="F699" i="1"/>
  <c r="F695" i="1"/>
  <c r="F693" i="1"/>
  <c r="F692" i="1"/>
  <c r="F691" i="1"/>
  <c r="F690" i="1"/>
  <c r="F688" i="1"/>
  <c r="F687" i="1"/>
  <c r="F685" i="1"/>
  <c r="F684" i="1"/>
  <c r="F683" i="1"/>
  <c r="F681" i="1"/>
  <c r="F678" i="1"/>
  <c r="F677" i="1"/>
  <c r="F676" i="1"/>
  <c r="F675" i="1"/>
  <c r="F673" i="1"/>
  <c r="F669" i="1"/>
  <c r="F666" i="1"/>
  <c r="F665" i="1"/>
  <c r="F663" i="1"/>
  <c r="F649" i="1"/>
  <c r="F643" i="1"/>
  <c r="F639" i="1"/>
  <c r="F638" i="1"/>
  <c r="F637" i="1"/>
  <c r="F636" i="1"/>
  <c r="F635" i="1"/>
  <c r="F634" i="1"/>
  <c r="F631" i="1"/>
  <c r="F606" i="1"/>
  <c r="F628" i="1"/>
  <c r="F624" i="1"/>
  <c r="F621" i="1"/>
  <c r="F609" i="1"/>
  <c r="F598" i="1"/>
  <c r="F597" i="1"/>
  <c r="F596" i="1"/>
  <c r="F595" i="1"/>
  <c r="F592" i="1"/>
  <c r="F591" i="1"/>
  <c r="F590" i="1"/>
  <c r="F589" i="1"/>
  <c r="F588" i="1"/>
  <c r="F587" i="1"/>
  <c r="F586" i="1"/>
  <c r="F585" i="1"/>
  <c r="F582" i="1"/>
  <c r="F581" i="1"/>
  <c r="F576" i="1"/>
  <c r="F572" i="1"/>
  <c r="F571" i="1"/>
  <c r="F561" i="1"/>
  <c r="F560" i="1"/>
  <c r="F546" i="1"/>
  <c r="F543" i="1"/>
  <c r="F540" i="1"/>
  <c r="F539" i="1"/>
  <c r="F538" i="1"/>
  <c r="F537" i="1"/>
  <c r="F536" i="1"/>
  <c r="F535" i="1"/>
  <c r="F534" i="1"/>
  <c r="F533" i="1"/>
  <c r="F532" i="1"/>
  <c r="F531" i="1"/>
  <c r="F530" i="1"/>
  <c r="F528" i="1"/>
  <c r="F527" i="1"/>
  <c r="F526" i="1"/>
  <c r="F525" i="1"/>
  <c r="F524" i="1"/>
  <c r="F523" i="1"/>
  <c r="F522" i="1"/>
  <c r="F521" i="1"/>
  <c r="F520" i="1"/>
  <c r="F519" i="1"/>
  <c r="F516" i="1"/>
  <c r="F515" i="1"/>
  <c r="F514" i="1"/>
  <c r="F513" i="1"/>
  <c r="F512" i="1"/>
  <c r="F511" i="1"/>
  <c r="F510" i="1"/>
  <c r="F509" i="1"/>
  <c r="F508" i="1"/>
  <c r="F507" i="1"/>
  <c r="F506" i="1"/>
  <c r="F504" i="1"/>
  <c r="F503" i="1"/>
  <c r="F502" i="1"/>
  <c r="F501" i="1"/>
  <c r="F500" i="1"/>
  <c r="F499" i="1"/>
  <c r="F498" i="1"/>
  <c r="F497" i="1"/>
  <c r="F496" i="1"/>
  <c r="F495" i="1"/>
  <c r="F493" i="1"/>
  <c r="F490" i="1"/>
  <c r="F489" i="1"/>
  <c r="F488" i="1"/>
  <c r="F487" i="1"/>
  <c r="F486" i="1"/>
  <c r="F485" i="1"/>
  <c r="F484" i="1"/>
  <c r="F483" i="1"/>
  <c r="F482" i="1"/>
  <c r="F481" i="1"/>
  <c r="F480" i="1"/>
  <c r="F478" i="1"/>
  <c r="F477" i="1"/>
  <c r="F476" i="1"/>
  <c r="F475" i="1"/>
  <c r="F474" i="1"/>
  <c r="F473" i="1"/>
  <c r="F472" i="1"/>
  <c r="F471" i="1"/>
  <c r="F470" i="1"/>
  <c r="F469" i="1"/>
  <c r="F466" i="1"/>
  <c r="F465" i="1"/>
  <c r="F464" i="1"/>
  <c r="F463" i="1"/>
  <c r="F462" i="1"/>
  <c r="F461" i="1"/>
  <c r="F460" i="1"/>
  <c r="F459" i="1"/>
  <c r="F458" i="1"/>
  <c r="F457" i="1"/>
  <c r="F456" i="1"/>
  <c r="F454" i="1"/>
  <c r="F453" i="1"/>
  <c r="F452" i="1"/>
  <c r="F451" i="1"/>
  <c r="F450" i="1"/>
  <c r="F449" i="1"/>
  <c r="F448" i="1"/>
  <c r="F447" i="1"/>
  <c r="F446" i="1"/>
  <c r="F445" i="1"/>
  <c r="F444" i="1"/>
  <c r="F442" i="1"/>
  <c r="F441" i="1"/>
  <c r="F440" i="1"/>
  <c r="F439" i="1"/>
  <c r="F438" i="1"/>
  <c r="F437" i="1"/>
  <c r="F436" i="1"/>
  <c r="F435" i="1"/>
  <c r="F434" i="1"/>
  <c r="F433" i="1"/>
  <c r="F431" i="1"/>
  <c r="F429" i="1"/>
  <c r="F418" i="1"/>
  <c r="F416" i="1"/>
  <c r="F414" i="1"/>
  <c r="F412" i="1"/>
  <c r="F390" i="1"/>
  <c r="F391" i="1"/>
  <c r="F392" i="1"/>
  <c r="F393" i="1"/>
  <c r="F398" i="1"/>
  <c r="F397" i="1"/>
  <c r="F396" i="1"/>
  <c r="F395" i="1"/>
  <c r="F394" i="1"/>
  <c r="F388" i="1"/>
  <c r="F376" i="1"/>
  <c r="F377" i="1"/>
  <c r="F378" i="1"/>
  <c r="F379" i="1"/>
  <c r="F380" i="1"/>
  <c r="F381" i="1"/>
  <c r="F382" i="1"/>
  <c r="F383" i="1"/>
  <c r="F384" i="1"/>
  <c r="F370" i="1"/>
  <c r="F369" i="1"/>
  <c r="F368" i="1"/>
  <c r="F367" i="1"/>
  <c r="F366" i="1"/>
  <c r="F365" i="1"/>
  <c r="F364" i="1"/>
  <c r="F363" i="1"/>
  <c r="F362" i="1"/>
  <c r="F356" i="1"/>
  <c r="F355" i="1"/>
  <c r="F354" i="1"/>
  <c r="F353" i="1"/>
  <c r="F352" i="1"/>
  <c r="F351" i="1"/>
  <c r="F350" i="1"/>
  <c r="F349" i="1"/>
  <c r="F348" i="1"/>
  <c r="F333" i="1"/>
  <c r="F334" i="1"/>
  <c r="F335" i="1"/>
  <c r="F336" i="1"/>
  <c r="F337" i="1"/>
  <c r="F338" i="1"/>
  <c r="F339" i="1"/>
  <c r="F340" i="1"/>
  <c r="F341" i="1"/>
  <c r="F342" i="1"/>
  <c r="F320" i="1"/>
  <c r="F321" i="1"/>
  <c r="F322" i="1"/>
  <c r="F323" i="1"/>
  <c r="F151" i="1"/>
  <c r="F324" i="1"/>
  <c r="F325" i="1"/>
  <c r="F326" i="1"/>
  <c r="F327" i="1"/>
  <c r="F328" i="1"/>
  <c r="F314" i="1"/>
  <c r="F313" i="1"/>
  <c r="F312" i="1"/>
  <c r="F311" i="1"/>
  <c r="F310" i="1"/>
  <c r="F309" i="1"/>
  <c r="F308" i="1"/>
  <c r="F307" i="1"/>
  <c r="F306" i="1"/>
  <c r="F304" i="1"/>
  <c r="F292" i="1"/>
  <c r="F293" i="1"/>
  <c r="F294" i="1"/>
  <c r="F295" i="1"/>
  <c r="F296" i="1"/>
  <c r="F297" i="1"/>
  <c r="F298" i="1"/>
  <c r="F299" i="1"/>
  <c r="F300" i="1"/>
  <c r="F290" i="1"/>
  <c r="F286" i="1"/>
  <c r="F285" i="1"/>
  <c r="F284" i="1"/>
  <c r="F283" i="1"/>
  <c r="F282" i="1"/>
  <c r="F281" i="1"/>
  <c r="F280" i="1"/>
  <c r="F279" i="1"/>
  <c r="F278" i="1"/>
  <c r="F192" i="1"/>
  <c r="F276" i="1"/>
  <c r="F272" i="1"/>
  <c r="F271" i="1"/>
  <c r="F270" i="1"/>
  <c r="F269" i="1"/>
  <c r="F268" i="1"/>
  <c r="F267" i="1"/>
  <c r="F266" i="1"/>
  <c r="F265" i="1"/>
  <c r="F264" i="1"/>
  <c r="F263" i="1"/>
  <c r="F262" i="1"/>
  <c r="F248" i="1"/>
  <c r="F249" i="1"/>
  <c r="F250" i="1"/>
  <c r="F251" i="1"/>
  <c r="F252" i="1"/>
  <c r="F253" i="1"/>
  <c r="F254" i="1"/>
  <c r="F255" i="1"/>
  <c r="F256" i="1"/>
  <c r="F257" i="1"/>
  <c r="F258" i="1"/>
  <c r="F244" i="1"/>
  <c r="F243" i="1"/>
  <c r="F242" i="1"/>
  <c r="F241" i="1"/>
  <c r="F240" i="1"/>
  <c r="F239" i="1"/>
  <c r="F238" i="1"/>
  <c r="F237" i="1"/>
  <c r="F236" i="1"/>
  <c r="F235" i="1"/>
  <c r="F234" i="1"/>
  <c r="F220" i="1"/>
  <c r="F206" i="1"/>
  <c r="F202" i="1"/>
  <c r="F201" i="1"/>
  <c r="F200" i="1"/>
  <c r="F199" i="1"/>
  <c r="F198" i="1"/>
  <c r="F197" i="1"/>
  <c r="F196" i="1"/>
  <c r="F195" i="1"/>
  <c r="F194" i="1"/>
  <c r="F193" i="1"/>
  <c r="F188" i="1"/>
  <c r="F187" i="1"/>
  <c r="F186" i="1"/>
  <c r="F185" i="1"/>
  <c r="F184" i="1"/>
  <c r="F183" i="1"/>
  <c r="F182" i="1"/>
  <c r="F181" i="1"/>
  <c r="F180" i="1"/>
  <c r="F179" i="1"/>
  <c r="F178" i="1"/>
  <c r="F164" i="1"/>
  <c r="F156" i="1"/>
  <c r="F155" i="1"/>
  <c r="F154" i="1"/>
  <c r="F153" i="1"/>
  <c r="F152" i="1"/>
  <c r="F150" i="1"/>
  <c r="F147" i="1"/>
  <c r="F149" i="1"/>
  <c r="F148" i="1"/>
  <c r="F146" i="1"/>
  <c r="F145" i="1"/>
  <c r="F140" i="1"/>
  <c r="F139" i="1"/>
  <c r="F137" i="1"/>
  <c r="F136" i="1"/>
  <c r="F135" i="1"/>
  <c r="F134" i="1"/>
  <c r="F132" i="1"/>
  <c r="F131" i="1"/>
  <c r="F14" i="1"/>
  <c r="F28" i="1"/>
  <c r="F75" i="1"/>
  <c r="F80" i="1"/>
  <c r="F82" i="1"/>
  <c r="F79" i="1"/>
  <c r="F74" i="1"/>
  <c r="F29" i="1"/>
  <c r="F30" i="1"/>
  <c r="F48" i="1"/>
  <c r="F53" i="1"/>
  <c r="F49" i="1"/>
  <c r="F44" i="1"/>
  <c r="F51" i="1"/>
  <c r="F52" i="1"/>
  <c r="F45" i="1"/>
  <c r="F56" i="1"/>
  <c r="F60" i="1"/>
  <c r="F55" i="1"/>
  <c r="F58" i="1"/>
  <c r="F125" i="1"/>
  <c r="F124" i="1"/>
  <c r="F123" i="1"/>
  <c r="F120" i="1"/>
  <c r="F119" i="1"/>
  <c r="F118" i="1"/>
  <c r="F116" i="1"/>
  <c r="F115" i="1"/>
  <c r="F112" i="1"/>
  <c r="F113" i="1"/>
  <c r="F109" i="1"/>
  <c r="F108" i="1"/>
  <c r="F107" i="1"/>
  <c r="F105" i="1"/>
  <c r="F104" i="1"/>
  <c r="F103" i="1"/>
  <c r="F102" i="1"/>
  <c r="F101" i="1"/>
  <c r="F97" i="1"/>
  <c r="F96" i="1"/>
  <c r="F95" i="1"/>
  <c r="F88" i="1"/>
  <c r="F87" i="1"/>
  <c r="F86" i="1"/>
  <c r="F85" i="1"/>
  <c r="F77" i="1"/>
  <c r="F71" i="1"/>
  <c r="F63" i="1"/>
  <c r="F70" i="1"/>
  <c r="F68" i="1"/>
  <c r="F67" i="1"/>
  <c r="F65" i="1"/>
  <c r="F37" i="1"/>
  <c r="F36" i="1"/>
  <c r="F35" i="1"/>
  <c r="F34" i="1"/>
  <c r="F33" i="1"/>
  <c r="F32" i="1"/>
  <c r="F25" i="1"/>
  <c r="F13" i="1"/>
  <c r="E896" i="1"/>
  <c r="E762" i="1"/>
  <c r="E757" i="1"/>
  <c r="E160" i="1"/>
  <c r="E374" i="1"/>
  <c r="E389" i="1"/>
  <c r="E375" i="1"/>
  <c r="E291" i="1"/>
  <c r="E277" i="1"/>
  <c r="E705" i="1"/>
  <c r="E716" i="1"/>
  <c r="E717" i="1"/>
  <c r="E718" i="1"/>
  <c r="E719" i="1"/>
  <c r="E720" i="1"/>
  <c r="E721" i="1"/>
  <c r="E722" i="1"/>
  <c r="E723" i="1"/>
  <c r="E724" i="1"/>
  <c r="E725" i="1"/>
  <c r="E726" i="1"/>
  <c r="E714" i="1"/>
  <c r="E711" i="1"/>
  <c r="E709" i="1"/>
  <c r="E346" i="1"/>
  <c r="E360" i="1"/>
  <c r="E361" i="1"/>
  <c r="E347" i="1"/>
  <c r="E332" i="1"/>
  <c r="E318" i="1"/>
  <c r="E161" i="1"/>
  <c r="E319" i="1"/>
  <c r="E305" i="1"/>
  <c r="E815" i="1"/>
  <c r="E680" i="1"/>
  <c r="E604" i="1"/>
  <c r="E603" i="1"/>
  <c r="E601" i="1"/>
  <c r="E612" i="1"/>
  <c r="E618" i="1"/>
  <c r="E607" i="1"/>
  <c r="E629" i="1"/>
  <c r="E622" i="1"/>
  <c r="E625" i="1"/>
  <c r="E623" i="1"/>
  <c r="E627" i="1"/>
  <c r="E802" i="1"/>
  <c r="E800" i="1"/>
  <c r="E547" i="1"/>
  <c r="E424" i="1"/>
  <c r="E557" i="1"/>
  <c r="E551" i="1"/>
  <c r="E753" i="1"/>
  <c r="E744" i="1"/>
  <c r="E743" i="1"/>
  <c r="E742" i="1"/>
  <c r="E738" i="1"/>
  <c r="E737" i="1"/>
  <c r="E736" i="1"/>
  <c r="E732" i="1"/>
  <c r="E731" i="1"/>
  <c r="E730" i="1"/>
  <c r="E713" i="1"/>
  <c r="E708" i="1"/>
  <c r="E707" i="1"/>
  <c r="E701" i="1"/>
  <c r="E700" i="1"/>
  <c r="E699" i="1"/>
  <c r="E695" i="1"/>
  <c r="E693" i="1"/>
  <c r="E692" i="1"/>
  <c r="E691" i="1"/>
  <c r="E690" i="1"/>
  <c r="E688" i="1"/>
  <c r="E687" i="1"/>
  <c r="E685" i="1"/>
  <c r="E684" i="1"/>
  <c r="E683" i="1"/>
  <c r="E681" i="1"/>
  <c r="E678" i="1"/>
  <c r="E677" i="1"/>
  <c r="E676" i="1"/>
  <c r="E675" i="1"/>
  <c r="E673" i="1"/>
  <c r="E669" i="1"/>
  <c r="E666" i="1"/>
  <c r="E665" i="1"/>
  <c r="E663" i="1"/>
  <c r="E649" i="1"/>
  <c r="E643" i="1"/>
  <c r="E639" i="1"/>
  <c r="E638" i="1"/>
  <c r="E637" i="1"/>
  <c r="E636" i="1"/>
  <c r="E635" i="1"/>
  <c r="E634" i="1"/>
  <c r="E631" i="1"/>
  <c r="E606" i="1"/>
  <c r="E628" i="1"/>
  <c r="E624" i="1"/>
  <c r="E621" i="1"/>
  <c r="E609" i="1"/>
  <c r="E598" i="1"/>
  <c r="E597" i="1"/>
  <c r="E596" i="1"/>
  <c r="E595" i="1"/>
  <c r="E592" i="1"/>
  <c r="E591" i="1"/>
  <c r="E590" i="1"/>
  <c r="E589" i="1"/>
  <c r="E588" i="1"/>
  <c r="E587" i="1"/>
  <c r="E586" i="1"/>
  <c r="E585" i="1"/>
  <c r="E582" i="1"/>
  <c r="E581" i="1"/>
  <c r="E576" i="1"/>
  <c r="E572" i="1"/>
  <c r="E571" i="1"/>
  <c r="E561" i="1"/>
  <c r="E560" i="1"/>
  <c r="E546" i="1"/>
  <c r="E543" i="1"/>
  <c r="E540" i="1"/>
  <c r="E539" i="1"/>
  <c r="E538" i="1"/>
  <c r="E537" i="1"/>
  <c r="E536" i="1"/>
  <c r="E535" i="1"/>
  <c r="E534" i="1"/>
  <c r="E533" i="1"/>
  <c r="E532" i="1"/>
  <c r="E531" i="1"/>
  <c r="E530" i="1"/>
  <c r="E528" i="1"/>
  <c r="E527" i="1"/>
  <c r="E526" i="1"/>
  <c r="E525" i="1"/>
  <c r="E524" i="1"/>
  <c r="E523" i="1"/>
  <c r="E522" i="1"/>
  <c r="E521" i="1"/>
  <c r="E520" i="1"/>
  <c r="E519" i="1"/>
  <c r="E516" i="1"/>
  <c r="E515" i="1"/>
  <c r="E514" i="1"/>
  <c r="E513" i="1"/>
  <c r="E512" i="1"/>
  <c r="E511" i="1"/>
  <c r="E510" i="1"/>
  <c r="E509" i="1"/>
  <c r="E508" i="1"/>
  <c r="E507" i="1"/>
  <c r="E506" i="1"/>
  <c r="E504" i="1"/>
  <c r="E503" i="1"/>
  <c r="E502" i="1"/>
  <c r="E501" i="1"/>
  <c r="E500" i="1"/>
  <c r="E499" i="1"/>
  <c r="E498" i="1"/>
  <c r="E497" i="1"/>
  <c r="E496" i="1"/>
  <c r="E495" i="1"/>
  <c r="E493" i="1"/>
  <c r="E490" i="1"/>
  <c r="E489" i="1"/>
  <c r="E488" i="1"/>
  <c r="E487" i="1"/>
  <c r="E486" i="1"/>
  <c r="E485" i="1"/>
  <c r="E484" i="1"/>
  <c r="E483" i="1"/>
  <c r="E482" i="1"/>
  <c r="E481" i="1"/>
  <c r="E480" i="1"/>
  <c r="E478" i="1"/>
  <c r="E477" i="1"/>
  <c r="E476" i="1"/>
  <c r="E475" i="1"/>
  <c r="E474" i="1"/>
  <c r="E473" i="1"/>
  <c r="E472" i="1"/>
  <c r="E471" i="1"/>
  <c r="E470" i="1"/>
  <c r="E469" i="1"/>
  <c r="E466" i="1"/>
  <c r="E465" i="1"/>
  <c r="E464" i="1"/>
  <c r="E463" i="1"/>
  <c r="E462" i="1"/>
  <c r="E461" i="1"/>
  <c r="E460" i="1"/>
  <c r="E459" i="1"/>
  <c r="E458" i="1"/>
  <c r="E457" i="1"/>
  <c r="E456" i="1"/>
  <c r="E454" i="1"/>
  <c r="E453" i="1"/>
  <c r="E452" i="1"/>
  <c r="E451" i="1"/>
  <c r="E450" i="1"/>
  <c r="E449" i="1"/>
  <c r="E448" i="1"/>
  <c r="E447" i="1"/>
  <c r="E446" i="1"/>
  <c r="E445" i="1"/>
  <c r="E444" i="1"/>
  <c r="E442" i="1"/>
  <c r="E441" i="1"/>
  <c r="E440" i="1"/>
  <c r="E439" i="1"/>
  <c r="E438" i="1"/>
  <c r="E437" i="1"/>
  <c r="E436" i="1"/>
  <c r="E435" i="1"/>
  <c r="E434" i="1"/>
  <c r="E433" i="1"/>
  <c r="E431" i="1"/>
  <c r="E429" i="1"/>
  <c r="E418" i="1"/>
  <c r="E416" i="1"/>
  <c r="E414" i="1"/>
  <c r="E412" i="1"/>
  <c r="E390" i="1"/>
  <c r="E391" i="1"/>
  <c r="E392" i="1"/>
  <c r="E393" i="1"/>
  <c r="E398" i="1"/>
  <c r="E397" i="1"/>
  <c r="E396" i="1"/>
  <c r="E395" i="1"/>
  <c r="E394" i="1"/>
  <c r="E388" i="1"/>
  <c r="E376" i="1"/>
  <c r="E377" i="1"/>
  <c r="E378" i="1"/>
  <c r="E379" i="1"/>
  <c r="E380" i="1"/>
  <c r="E381" i="1"/>
  <c r="E382" i="1"/>
  <c r="E383" i="1"/>
  <c r="E384" i="1"/>
  <c r="E370" i="1"/>
  <c r="E369" i="1"/>
  <c r="E368" i="1"/>
  <c r="E367" i="1"/>
  <c r="E366" i="1"/>
  <c r="E365" i="1"/>
  <c r="E364" i="1"/>
  <c r="E363" i="1"/>
  <c r="E362" i="1"/>
  <c r="E356" i="1"/>
  <c r="E355" i="1"/>
  <c r="E354" i="1"/>
  <c r="E353" i="1"/>
  <c r="E352" i="1"/>
  <c r="E351" i="1"/>
  <c r="E350" i="1"/>
  <c r="E349" i="1"/>
  <c r="E348" i="1"/>
  <c r="E333" i="1"/>
  <c r="E334" i="1"/>
  <c r="E335" i="1"/>
  <c r="E336" i="1"/>
  <c r="E337" i="1"/>
  <c r="E338" i="1"/>
  <c r="E339" i="1"/>
  <c r="E340" i="1"/>
  <c r="E341" i="1"/>
  <c r="E342" i="1"/>
  <c r="E320" i="1"/>
  <c r="E321" i="1"/>
  <c r="E322" i="1"/>
  <c r="E323" i="1"/>
  <c r="E151" i="1"/>
  <c r="E324" i="1"/>
  <c r="E325" i="1"/>
  <c r="E326" i="1"/>
  <c r="E327" i="1"/>
  <c r="E328" i="1"/>
  <c r="E314" i="1"/>
  <c r="E313" i="1"/>
  <c r="E312" i="1"/>
  <c r="E311" i="1"/>
  <c r="E310" i="1"/>
  <c r="E309" i="1"/>
  <c r="E308" i="1"/>
  <c r="E307" i="1"/>
  <c r="E306" i="1"/>
  <c r="E304" i="1"/>
  <c r="E292" i="1"/>
  <c r="E293" i="1"/>
  <c r="E294" i="1"/>
  <c r="E295" i="1"/>
  <c r="E296" i="1"/>
  <c r="E297" i="1"/>
  <c r="E298" i="1"/>
  <c r="E299" i="1"/>
  <c r="E300" i="1"/>
  <c r="E290" i="1"/>
  <c r="E286" i="1"/>
  <c r="E285" i="1"/>
  <c r="E284" i="1"/>
  <c r="E283" i="1"/>
  <c r="E282" i="1"/>
  <c r="E281" i="1"/>
  <c r="E280" i="1"/>
  <c r="E279" i="1"/>
  <c r="E278" i="1"/>
  <c r="E192" i="1"/>
  <c r="E276" i="1"/>
  <c r="E272" i="1"/>
  <c r="E271" i="1"/>
  <c r="E270" i="1"/>
  <c r="E269" i="1"/>
  <c r="E268" i="1"/>
  <c r="E267" i="1"/>
  <c r="E266" i="1"/>
  <c r="E265" i="1"/>
  <c r="E264" i="1"/>
  <c r="E263" i="1"/>
  <c r="E262" i="1"/>
  <c r="E248" i="1"/>
  <c r="E249" i="1"/>
  <c r="E250" i="1"/>
  <c r="E251" i="1"/>
  <c r="E252" i="1"/>
  <c r="E253" i="1"/>
  <c r="E254" i="1"/>
  <c r="E255" i="1"/>
  <c r="E256" i="1"/>
  <c r="E257" i="1"/>
  <c r="E258" i="1"/>
  <c r="E244" i="1"/>
  <c r="E243" i="1"/>
  <c r="E242" i="1"/>
  <c r="E241" i="1"/>
  <c r="E240" i="1"/>
  <c r="E239" i="1"/>
  <c r="E238" i="1"/>
  <c r="E237" i="1"/>
  <c r="E236" i="1"/>
  <c r="E235" i="1"/>
  <c r="E234" i="1"/>
  <c r="E220" i="1"/>
  <c r="E206" i="1"/>
  <c r="E202" i="1"/>
  <c r="E201" i="1"/>
  <c r="E200" i="1"/>
  <c r="E199" i="1"/>
  <c r="E198" i="1"/>
  <c r="E197" i="1"/>
  <c r="E196" i="1"/>
  <c r="E195" i="1"/>
  <c r="E194" i="1"/>
  <c r="E193" i="1"/>
  <c r="E188" i="1"/>
  <c r="E187" i="1"/>
  <c r="E186" i="1"/>
  <c r="E185" i="1"/>
  <c r="E184" i="1"/>
  <c r="E183" i="1"/>
  <c r="E182" i="1"/>
  <c r="E181" i="1"/>
  <c r="E180" i="1"/>
  <c r="E179" i="1"/>
  <c r="E178" i="1"/>
  <c r="E164" i="1"/>
  <c r="E156" i="1"/>
  <c r="E155" i="1"/>
  <c r="E154" i="1"/>
  <c r="E153" i="1"/>
  <c r="E152" i="1"/>
  <c r="E150" i="1"/>
  <c r="E147" i="1"/>
  <c r="E149" i="1"/>
  <c r="E148" i="1"/>
  <c r="E146" i="1"/>
  <c r="E145" i="1"/>
  <c r="E140" i="1"/>
  <c r="E139" i="1"/>
  <c r="E137" i="1"/>
  <c r="E136" i="1"/>
  <c r="E135" i="1"/>
  <c r="E134" i="1"/>
  <c r="E132" i="1"/>
  <c r="E131" i="1"/>
  <c r="E14" i="1"/>
  <c r="E28" i="1"/>
  <c r="E75" i="1"/>
  <c r="E80" i="1"/>
  <c r="E82" i="1"/>
  <c r="E79" i="1"/>
  <c r="E74" i="1"/>
  <c r="E29" i="1"/>
  <c r="E30" i="1"/>
  <c r="E48" i="1"/>
  <c r="E53" i="1"/>
  <c r="E49" i="1"/>
  <c r="E44" i="1"/>
  <c r="E51" i="1"/>
  <c r="E52" i="1"/>
  <c r="E45" i="1"/>
  <c r="E56" i="1"/>
  <c r="E60" i="1"/>
  <c r="E55" i="1"/>
  <c r="E58" i="1"/>
  <c r="E125" i="1"/>
  <c r="E124" i="1"/>
  <c r="E123" i="1"/>
  <c r="E120" i="1"/>
  <c r="E119" i="1"/>
  <c r="E118" i="1"/>
  <c r="E116" i="1"/>
  <c r="E115" i="1"/>
  <c r="E112" i="1"/>
  <c r="E113" i="1"/>
  <c r="E109" i="1"/>
  <c r="E108" i="1"/>
  <c r="E107" i="1"/>
  <c r="E105" i="1"/>
  <c r="E104" i="1"/>
  <c r="E103" i="1"/>
  <c r="E102" i="1"/>
  <c r="E101" i="1"/>
  <c r="E97" i="1"/>
  <c r="E96" i="1"/>
  <c r="E95" i="1"/>
  <c r="E88" i="1"/>
  <c r="E87" i="1"/>
  <c r="E86" i="1"/>
  <c r="E85" i="1"/>
  <c r="E77" i="1"/>
  <c r="E71" i="1"/>
  <c r="E63" i="1"/>
  <c r="E70" i="1"/>
  <c r="E68" i="1"/>
  <c r="E67" i="1"/>
  <c r="E65" i="1"/>
  <c r="E37" i="1"/>
  <c r="E36" i="1"/>
  <c r="E35" i="1"/>
  <c r="E34" i="1"/>
  <c r="E33" i="1"/>
  <c r="E32" i="1"/>
  <c r="E25" i="1"/>
  <c r="E13" i="1"/>
  <c r="D896" i="1"/>
  <c r="D762" i="1"/>
  <c r="D757" i="1"/>
  <c r="D160" i="1"/>
  <c r="D374" i="1"/>
  <c r="D389" i="1"/>
  <c r="D375" i="1"/>
  <c r="D291" i="1"/>
  <c r="D277" i="1"/>
  <c r="D705" i="1"/>
  <c r="D716" i="1"/>
  <c r="D717" i="1"/>
  <c r="D718" i="1"/>
  <c r="D719" i="1"/>
  <c r="D720" i="1"/>
  <c r="D721" i="1"/>
  <c r="D722" i="1"/>
  <c r="D723" i="1"/>
  <c r="D724" i="1"/>
  <c r="D725" i="1"/>
  <c r="D726" i="1"/>
  <c r="D714" i="1"/>
  <c r="D711" i="1"/>
  <c r="D709" i="1"/>
  <c r="D346" i="1"/>
  <c r="D360" i="1"/>
  <c r="D361" i="1"/>
  <c r="D347" i="1"/>
  <c r="D332" i="1"/>
  <c r="D161" i="1"/>
  <c r="D318" i="1"/>
  <c r="D319" i="1"/>
  <c r="D305" i="1"/>
  <c r="D815" i="1"/>
  <c r="D680" i="1"/>
  <c r="D604" i="1"/>
  <c r="D603" i="1"/>
  <c r="D601" i="1"/>
  <c r="D612" i="1"/>
  <c r="D618" i="1"/>
  <c r="D607" i="1"/>
  <c r="D629" i="1"/>
  <c r="D622" i="1"/>
  <c r="D625" i="1"/>
  <c r="D623" i="1"/>
  <c r="D627" i="1"/>
  <c r="D802" i="1"/>
  <c r="D800" i="1"/>
  <c r="D547" i="1"/>
  <c r="D424" i="1"/>
  <c r="D557" i="1"/>
  <c r="D551" i="1"/>
  <c r="D753" i="1"/>
  <c r="D744" i="1"/>
  <c r="D743" i="1"/>
  <c r="D742" i="1"/>
  <c r="D738" i="1"/>
  <c r="D737" i="1"/>
  <c r="D736" i="1"/>
  <c r="D732" i="1"/>
  <c r="D731" i="1"/>
  <c r="D730" i="1"/>
  <c r="D713" i="1"/>
  <c r="D708" i="1"/>
  <c r="D707" i="1"/>
  <c r="D701" i="1"/>
  <c r="D700" i="1"/>
  <c r="D699" i="1"/>
  <c r="D695" i="1"/>
  <c r="D693" i="1"/>
  <c r="D692" i="1"/>
  <c r="D691" i="1"/>
  <c r="D690" i="1"/>
  <c r="D688" i="1"/>
  <c r="D687" i="1"/>
  <c r="D685" i="1"/>
  <c r="D684" i="1"/>
  <c r="D683" i="1"/>
  <c r="D681" i="1"/>
  <c r="D678" i="1"/>
  <c r="D677" i="1"/>
  <c r="D676" i="1"/>
  <c r="D675" i="1"/>
  <c r="D673" i="1"/>
  <c r="D669" i="1"/>
  <c r="D666" i="1"/>
  <c r="D665" i="1"/>
  <c r="D663" i="1"/>
  <c r="D649" i="1"/>
  <c r="D643" i="1"/>
  <c r="D639" i="1"/>
  <c r="D638" i="1"/>
  <c r="D637" i="1"/>
  <c r="D636" i="1"/>
  <c r="D635" i="1"/>
  <c r="D634" i="1"/>
  <c r="D631" i="1"/>
  <c r="D606" i="1"/>
  <c r="D628" i="1"/>
  <c r="D624" i="1"/>
  <c r="D621" i="1"/>
  <c r="D609" i="1"/>
  <c r="D598" i="1"/>
  <c r="D597" i="1"/>
  <c r="D596" i="1"/>
  <c r="D595" i="1"/>
  <c r="D592" i="1"/>
  <c r="D591" i="1"/>
  <c r="D590" i="1"/>
  <c r="D589" i="1"/>
  <c r="D588" i="1"/>
  <c r="D587" i="1"/>
  <c r="D586" i="1"/>
  <c r="D585" i="1"/>
  <c r="D582" i="1"/>
  <c r="D581" i="1"/>
  <c r="D576" i="1"/>
  <c r="D572" i="1"/>
  <c r="D571" i="1"/>
  <c r="D561" i="1"/>
  <c r="D560" i="1"/>
  <c r="D546" i="1"/>
  <c r="D543" i="1"/>
  <c r="D540" i="1"/>
  <c r="D539" i="1"/>
  <c r="D538" i="1"/>
  <c r="D537" i="1"/>
  <c r="D536" i="1"/>
  <c r="D535" i="1"/>
  <c r="D534" i="1"/>
  <c r="D533" i="1"/>
  <c r="D532" i="1"/>
  <c r="D531" i="1"/>
  <c r="D530" i="1"/>
  <c r="D528" i="1"/>
  <c r="D527" i="1"/>
  <c r="D526" i="1"/>
  <c r="D525" i="1"/>
  <c r="D524" i="1"/>
  <c r="D523" i="1"/>
  <c r="D522" i="1"/>
  <c r="D521" i="1"/>
  <c r="D520" i="1"/>
  <c r="D519" i="1"/>
  <c r="D516" i="1"/>
  <c r="D515" i="1"/>
  <c r="D514" i="1"/>
  <c r="D513" i="1"/>
  <c r="D512" i="1"/>
  <c r="D511" i="1"/>
  <c r="D510" i="1"/>
  <c r="D509" i="1"/>
  <c r="D508" i="1"/>
  <c r="D507" i="1"/>
  <c r="D506" i="1"/>
  <c r="D504" i="1"/>
  <c r="D503" i="1"/>
  <c r="D502" i="1"/>
  <c r="D501" i="1"/>
  <c r="D500" i="1"/>
  <c r="D499" i="1"/>
  <c r="D498" i="1"/>
  <c r="D497" i="1"/>
  <c r="D496" i="1"/>
  <c r="D495" i="1"/>
  <c r="D493" i="1"/>
  <c r="D490" i="1"/>
  <c r="D489" i="1"/>
  <c r="D488" i="1"/>
  <c r="D487" i="1"/>
  <c r="D486" i="1"/>
  <c r="D485" i="1"/>
  <c r="D484" i="1"/>
  <c r="D483" i="1"/>
  <c r="D482" i="1"/>
  <c r="D481" i="1"/>
  <c r="D480" i="1"/>
  <c r="D478" i="1"/>
  <c r="D477" i="1"/>
  <c r="D476" i="1"/>
  <c r="D475" i="1"/>
  <c r="D474" i="1"/>
  <c r="D473" i="1"/>
  <c r="D472" i="1"/>
  <c r="D471" i="1"/>
  <c r="D470" i="1"/>
  <c r="D469" i="1"/>
  <c r="D466" i="1"/>
  <c r="D465" i="1"/>
  <c r="D464" i="1"/>
  <c r="D463" i="1"/>
  <c r="D462" i="1"/>
  <c r="D461" i="1"/>
  <c r="D460" i="1"/>
  <c r="D459" i="1"/>
  <c r="D458" i="1"/>
  <c r="D457" i="1"/>
  <c r="D456" i="1"/>
  <c r="D454" i="1"/>
  <c r="D453" i="1"/>
  <c r="D452" i="1"/>
  <c r="D451" i="1"/>
  <c r="D450" i="1"/>
  <c r="D449" i="1"/>
  <c r="D448" i="1"/>
  <c r="D447" i="1"/>
  <c r="D446" i="1"/>
  <c r="D445" i="1"/>
  <c r="D444" i="1"/>
  <c r="D442" i="1"/>
  <c r="D441" i="1"/>
  <c r="D440" i="1"/>
  <c r="D439" i="1"/>
  <c r="D438" i="1"/>
  <c r="D437" i="1"/>
  <c r="D436" i="1"/>
  <c r="D435" i="1"/>
  <c r="D434" i="1"/>
  <c r="D433" i="1"/>
  <c r="D431" i="1"/>
  <c r="D429" i="1"/>
  <c r="D418" i="1"/>
  <c r="D416" i="1"/>
  <c r="D414" i="1"/>
  <c r="D412" i="1"/>
  <c r="D390" i="1"/>
  <c r="D391" i="1"/>
  <c r="D392" i="1"/>
  <c r="D393" i="1"/>
  <c r="D398" i="1"/>
  <c r="D397" i="1"/>
  <c r="D396" i="1"/>
  <c r="D395" i="1"/>
  <c r="D394" i="1"/>
  <c r="D388" i="1"/>
  <c r="D376" i="1"/>
  <c r="D377" i="1"/>
  <c r="D378" i="1"/>
  <c r="D379" i="1"/>
  <c r="D380" i="1"/>
  <c r="D381" i="1"/>
  <c r="D382" i="1"/>
  <c r="D383" i="1"/>
  <c r="D384" i="1"/>
  <c r="D370" i="1"/>
  <c r="D369" i="1"/>
  <c r="D368" i="1"/>
  <c r="D367" i="1"/>
  <c r="D366" i="1"/>
  <c r="D365" i="1"/>
  <c r="D364" i="1"/>
  <c r="D363" i="1"/>
  <c r="D362" i="1"/>
  <c r="D356" i="1"/>
  <c r="D355" i="1"/>
  <c r="D354" i="1"/>
  <c r="D353" i="1"/>
  <c r="D352" i="1"/>
  <c r="D351" i="1"/>
  <c r="D350" i="1"/>
  <c r="D349" i="1"/>
  <c r="D348" i="1"/>
  <c r="D333" i="1"/>
  <c r="D334" i="1"/>
  <c r="D335" i="1"/>
  <c r="D336" i="1"/>
  <c r="D337" i="1"/>
  <c r="D338" i="1"/>
  <c r="D339" i="1"/>
  <c r="D340" i="1"/>
  <c r="D341" i="1"/>
  <c r="D342" i="1"/>
  <c r="D320" i="1"/>
  <c r="D321" i="1"/>
  <c r="D322" i="1"/>
  <c r="D323" i="1"/>
  <c r="D151" i="1"/>
  <c r="D324" i="1"/>
  <c r="D325" i="1"/>
  <c r="D326" i="1"/>
  <c r="D327" i="1"/>
  <c r="D328" i="1"/>
  <c r="D314" i="1"/>
  <c r="D313" i="1"/>
  <c r="D312" i="1"/>
  <c r="D311" i="1"/>
  <c r="D310" i="1"/>
  <c r="D309" i="1"/>
  <c r="D308" i="1"/>
  <c r="D307" i="1"/>
  <c r="D306" i="1"/>
  <c r="D304" i="1"/>
  <c r="D292" i="1"/>
  <c r="D293" i="1"/>
  <c r="D294" i="1"/>
  <c r="D295" i="1"/>
  <c r="D296" i="1"/>
  <c r="D297" i="1"/>
  <c r="D298" i="1"/>
  <c r="D299" i="1"/>
  <c r="D300" i="1"/>
  <c r="D290" i="1"/>
  <c r="D286" i="1"/>
  <c r="D285" i="1"/>
  <c r="D284" i="1"/>
  <c r="D283" i="1"/>
  <c r="D282" i="1"/>
  <c r="D281" i="1"/>
  <c r="D280" i="1"/>
  <c r="D279" i="1"/>
  <c r="D278" i="1"/>
  <c r="D192" i="1"/>
  <c r="D276" i="1"/>
  <c r="D272" i="1"/>
  <c r="D271" i="1"/>
  <c r="D270" i="1"/>
  <c r="D269" i="1"/>
  <c r="D268" i="1"/>
  <c r="D267" i="1"/>
  <c r="D266" i="1"/>
  <c r="D265" i="1"/>
  <c r="D264" i="1"/>
  <c r="D263" i="1"/>
  <c r="D262" i="1"/>
  <c r="D248" i="1"/>
  <c r="D249" i="1"/>
  <c r="D250" i="1"/>
  <c r="D251" i="1"/>
  <c r="D252" i="1"/>
  <c r="D253" i="1"/>
  <c r="D254" i="1"/>
  <c r="D255" i="1"/>
  <c r="D256" i="1"/>
  <c r="D257" i="1"/>
  <c r="D258" i="1"/>
  <c r="D244" i="1"/>
  <c r="D243" i="1"/>
  <c r="D242" i="1"/>
  <c r="D241" i="1"/>
  <c r="D240" i="1"/>
  <c r="D239" i="1"/>
  <c r="D238" i="1"/>
  <c r="D237" i="1"/>
  <c r="D236" i="1"/>
  <c r="D235" i="1"/>
  <c r="D234" i="1"/>
  <c r="D220" i="1"/>
  <c r="D206" i="1"/>
  <c r="D202" i="1"/>
  <c r="D201" i="1"/>
  <c r="D200" i="1"/>
  <c r="D199" i="1"/>
  <c r="D198" i="1"/>
  <c r="D197" i="1"/>
  <c r="D196" i="1"/>
  <c r="D195" i="1"/>
  <c r="D194" i="1"/>
  <c r="D193" i="1"/>
  <c r="D188" i="1"/>
  <c r="D187" i="1"/>
  <c r="D186" i="1"/>
  <c r="D185" i="1"/>
  <c r="D184" i="1"/>
  <c r="D183" i="1"/>
  <c r="D182" i="1"/>
  <c r="D181" i="1"/>
  <c r="D180" i="1"/>
  <c r="D179" i="1"/>
  <c r="D178" i="1"/>
  <c r="D164" i="1"/>
  <c r="D156" i="1"/>
  <c r="D155" i="1"/>
  <c r="D154" i="1"/>
  <c r="D153" i="1"/>
  <c r="D152" i="1"/>
  <c r="D150" i="1"/>
  <c r="D147" i="1"/>
  <c r="D149" i="1"/>
  <c r="D148" i="1"/>
  <c r="D146" i="1"/>
  <c r="D145" i="1"/>
  <c r="D140" i="1"/>
  <c r="D139" i="1"/>
  <c r="D137" i="1"/>
  <c r="D136" i="1"/>
  <c r="D135" i="1"/>
  <c r="D134" i="1"/>
  <c r="D132" i="1"/>
  <c r="D131" i="1"/>
  <c r="D14" i="1"/>
  <c r="D28" i="1"/>
  <c r="D75" i="1"/>
  <c r="D80" i="1"/>
  <c r="D82" i="1"/>
  <c r="D79" i="1"/>
  <c r="D74" i="1"/>
  <c r="D29" i="1"/>
  <c r="D30" i="1"/>
  <c r="D48" i="1"/>
  <c r="D53" i="1"/>
  <c r="D49" i="1"/>
  <c r="D44" i="1"/>
  <c r="D51" i="1"/>
  <c r="D52" i="1"/>
  <c r="D45" i="1"/>
  <c r="D56" i="1"/>
  <c r="D60" i="1"/>
  <c r="D55" i="1"/>
  <c r="D58" i="1"/>
  <c r="D125" i="1"/>
  <c r="D124" i="1"/>
  <c r="D123" i="1"/>
  <c r="D120" i="1"/>
  <c r="D119" i="1"/>
  <c r="D118" i="1"/>
  <c r="D116" i="1"/>
  <c r="D115" i="1"/>
  <c r="D112" i="1"/>
  <c r="D113" i="1"/>
  <c r="D109" i="1"/>
  <c r="D108" i="1"/>
  <c r="D107" i="1"/>
  <c r="D105" i="1"/>
  <c r="D104" i="1"/>
  <c r="D103" i="1"/>
  <c r="D102" i="1"/>
  <c r="D101" i="1"/>
  <c r="D97" i="1"/>
  <c r="D96" i="1"/>
  <c r="D95" i="1"/>
  <c r="D88" i="1"/>
  <c r="D87" i="1"/>
  <c r="D86" i="1"/>
  <c r="D85" i="1"/>
  <c r="D77" i="1"/>
  <c r="D71" i="1"/>
  <c r="D63" i="1"/>
  <c r="D70" i="1"/>
  <c r="D68" i="1"/>
  <c r="D67" i="1"/>
  <c r="D65" i="1"/>
  <c r="D37" i="1"/>
  <c r="D36" i="1"/>
  <c r="D35" i="1"/>
  <c r="D34" i="1"/>
  <c r="D33" i="1"/>
  <c r="D32" i="1"/>
  <c r="D25" i="1"/>
  <c r="D13" i="1"/>
  <c r="B86" i="1"/>
  <c r="B87" i="1"/>
  <c r="C743" i="1"/>
  <c r="C160" i="1"/>
  <c r="C318" i="1"/>
  <c r="C705" i="1"/>
  <c r="C716" i="1"/>
  <c r="C717" i="1"/>
  <c r="C718" i="1"/>
  <c r="C719" i="1"/>
  <c r="C720" i="1"/>
  <c r="C721" i="1"/>
  <c r="C722" i="1"/>
  <c r="C723" i="1"/>
  <c r="C724" i="1"/>
  <c r="C725" i="1"/>
  <c r="C726" i="1"/>
  <c r="C714" i="1"/>
  <c r="C711" i="1"/>
  <c r="C709" i="1"/>
  <c r="C346" i="1"/>
  <c r="C304" i="1"/>
  <c r="C60" i="1"/>
  <c r="C374" i="1"/>
  <c r="C360" i="1"/>
  <c r="C361" i="1"/>
  <c r="C389" i="1"/>
  <c r="C375" i="1"/>
  <c r="C347" i="1"/>
  <c r="C332" i="1"/>
  <c r="C161" i="1"/>
  <c r="C319" i="1"/>
  <c r="C305" i="1"/>
  <c r="C291" i="1"/>
  <c r="C277" i="1"/>
  <c r="C193" i="1"/>
  <c r="C815" i="1"/>
  <c r="C192" i="1"/>
  <c r="C179" i="1"/>
  <c r="C58" i="1"/>
  <c r="C370" i="1"/>
  <c r="C390" i="1"/>
  <c r="C376" i="1"/>
  <c r="C391" i="1"/>
  <c r="C377" i="1"/>
  <c r="C392" i="1"/>
  <c r="C378" i="1"/>
  <c r="C393" i="1"/>
  <c r="C379" i="1"/>
  <c r="C394" i="1"/>
  <c r="C380" i="1"/>
  <c r="C395" i="1"/>
  <c r="C381" i="1"/>
  <c r="C396" i="1"/>
  <c r="C382" i="1"/>
  <c r="C397" i="1"/>
  <c r="C383" i="1"/>
  <c r="C398" i="1"/>
  <c r="C384" i="1"/>
  <c r="C356" i="1"/>
  <c r="C369" i="1"/>
  <c r="C355" i="1"/>
  <c r="C368" i="1"/>
  <c r="C354" i="1"/>
  <c r="C367" i="1"/>
  <c r="C353" i="1"/>
  <c r="C366" i="1"/>
  <c r="C352" i="1"/>
  <c r="C365" i="1"/>
  <c r="C351" i="1"/>
  <c r="C364" i="1"/>
  <c r="C350" i="1"/>
  <c r="C363" i="1"/>
  <c r="C349" i="1"/>
  <c r="C362" i="1"/>
  <c r="C348" i="1"/>
  <c r="C333" i="1"/>
  <c r="C334" i="1"/>
  <c r="C335" i="1"/>
  <c r="C336" i="1"/>
  <c r="C337" i="1"/>
  <c r="C338" i="1"/>
  <c r="C339" i="1"/>
  <c r="C340" i="1"/>
  <c r="C341" i="1"/>
  <c r="C320" i="1"/>
  <c r="C321" i="1"/>
  <c r="C322" i="1"/>
  <c r="C323" i="1"/>
  <c r="C547" i="1"/>
  <c r="C151" i="1"/>
  <c r="C324" i="1"/>
  <c r="C325" i="1"/>
  <c r="C326" i="1"/>
  <c r="C327" i="1"/>
  <c r="C328" i="1"/>
  <c r="C314" i="1"/>
  <c r="C292" i="1"/>
  <c r="C293" i="1"/>
  <c r="C294" i="1"/>
  <c r="C295" i="1"/>
  <c r="C296" i="1"/>
  <c r="C297" i="1"/>
  <c r="C298" i="1"/>
  <c r="C299" i="1"/>
  <c r="C300" i="1"/>
  <c r="C286" i="1"/>
  <c r="C202" i="1"/>
  <c r="C757" i="1"/>
  <c r="C896" i="1"/>
  <c r="C557" i="1"/>
  <c r="C551" i="1"/>
  <c r="C753" i="1"/>
  <c r="C546" i="1"/>
  <c r="C701" i="1"/>
  <c r="C700" i="1"/>
  <c r="C699" i="1"/>
  <c r="C713" i="1"/>
  <c r="C587" i="1"/>
  <c r="C588" i="1"/>
  <c r="C744" i="1"/>
  <c r="C742" i="1"/>
  <c r="C589" i="1"/>
  <c r="C732" i="1"/>
  <c r="C590" i="1"/>
  <c r="C591" i="1"/>
  <c r="C669" i="1"/>
  <c r="C695" i="1"/>
  <c r="C598" i="1"/>
  <c r="C639" i="1"/>
  <c r="C597" i="1"/>
  <c r="C609" i="1"/>
  <c r="C596" i="1"/>
  <c r="C595" i="1"/>
  <c r="C592" i="1"/>
  <c r="C585" i="1"/>
  <c r="C604" i="1"/>
  <c r="C603" i="1"/>
  <c r="C601" i="1"/>
  <c r="C802" i="1"/>
  <c r="C800" i="1"/>
  <c r="C493" i="1"/>
  <c r="B493" i="1"/>
  <c r="A504" i="1"/>
  <c r="A503" i="1"/>
  <c r="A502" i="1"/>
  <c r="A501" i="1"/>
  <c r="A500" i="1"/>
  <c r="A499" i="1"/>
  <c r="A498" i="1"/>
  <c r="A497" i="1"/>
  <c r="A496" i="1"/>
  <c r="A495" i="1"/>
  <c r="A880" i="1"/>
  <c r="A881" i="1"/>
  <c r="A882" i="1"/>
  <c r="A883" i="1"/>
  <c r="A884" i="1"/>
  <c r="A885" i="1"/>
  <c r="A886" i="1"/>
  <c r="A887" i="1"/>
  <c r="A888" i="1"/>
  <c r="A889" i="1"/>
  <c r="B431" i="1"/>
  <c r="C431" i="1"/>
  <c r="C471" i="1"/>
  <c r="C435" i="1"/>
  <c r="C434" i="1"/>
  <c r="C433" i="1"/>
  <c r="C482" i="1"/>
  <c r="C481" i="1"/>
  <c r="C470" i="1"/>
  <c r="C483" i="1"/>
  <c r="C469" i="1"/>
  <c r="C429" i="1"/>
  <c r="C607" i="1"/>
  <c r="C606" i="1"/>
  <c r="C14" i="1"/>
  <c r="C666" i="1"/>
  <c r="C571" i="1"/>
  <c r="C738" i="1"/>
  <c r="C737" i="1"/>
  <c r="C731" i="1"/>
  <c r="C692" i="1"/>
  <c r="C638" i="1"/>
  <c r="C637" i="1"/>
  <c r="C636" i="1"/>
  <c r="C612" i="1"/>
  <c r="C622" i="1"/>
  <c r="C561" i="1"/>
  <c r="C123" i="1"/>
  <c r="C540" i="1"/>
  <c r="C539" i="1"/>
  <c r="C538" i="1"/>
  <c r="C537" i="1"/>
  <c r="C536" i="1"/>
  <c r="C535" i="1"/>
  <c r="C534" i="1"/>
  <c r="C533" i="1"/>
  <c r="C532" i="1"/>
  <c r="C531" i="1"/>
  <c r="C528" i="1"/>
  <c r="C527" i="1"/>
  <c r="C526" i="1"/>
  <c r="C525" i="1"/>
  <c r="C524" i="1"/>
  <c r="C523" i="1"/>
  <c r="C522" i="1"/>
  <c r="C521" i="1"/>
  <c r="C520" i="1"/>
  <c r="C519" i="1"/>
  <c r="C490" i="1"/>
  <c r="C489" i="1"/>
  <c r="C488" i="1"/>
  <c r="C487" i="1"/>
  <c r="C486" i="1"/>
  <c r="C485" i="1"/>
  <c r="C484" i="1"/>
  <c r="C478" i="1"/>
  <c r="C477" i="1"/>
  <c r="C476" i="1"/>
  <c r="C475" i="1"/>
  <c r="C474" i="1"/>
  <c r="C473" i="1"/>
  <c r="C472" i="1"/>
  <c r="C442" i="1"/>
  <c r="C441" i="1"/>
  <c r="C440" i="1"/>
  <c r="C439" i="1"/>
  <c r="C438" i="1"/>
  <c r="C437" i="1"/>
  <c r="C436" i="1"/>
  <c r="C147" i="1"/>
  <c r="C146" i="1"/>
  <c r="C115" i="1"/>
  <c r="C87" i="1"/>
  <c r="C86" i="1"/>
  <c r="C80" i="1"/>
  <c r="C79" i="1"/>
  <c r="C77" i="1"/>
  <c r="C75" i="1"/>
  <c r="C71" i="1"/>
  <c r="C63" i="1"/>
  <c r="C70" i="1"/>
  <c r="C56" i="1"/>
  <c r="C55" i="1"/>
  <c r="C52" i="1"/>
  <c r="C51" i="1"/>
  <c r="C49" i="1"/>
  <c r="C48" i="1"/>
  <c r="C34" i="1"/>
  <c r="C462" i="1"/>
  <c r="C466" i="1"/>
  <c r="C629" i="1"/>
  <c r="C624" i="1"/>
  <c r="C460" i="1"/>
  <c r="C464" i="1"/>
  <c r="C621" i="1"/>
  <c r="C53" i="1"/>
  <c r="C44" i="1"/>
  <c r="C461" i="1"/>
  <c r="C82" i="1"/>
  <c r="C74" i="1"/>
  <c r="C29" i="1"/>
  <c r="C13" i="1"/>
  <c r="C693" i="1"/>
  <c r="C68" i="1"/>
  <c r="C677" i="1"/>
  <c r="C678" i="1"/>
  <c r="C30" i="1"/>
  <c r="C634" i="1"/>
  <c r="C581" i="1"/>
  <c r="C414" i="1"/>
  <c r="C684" i="1"/>
  <c r="C88" i="1"/>
  <c r="C627" i="1"/>
  <c r="C465" i="1"/>
  <c r="C457" i="1"/>
  <c r="C458" i="1"/>
  <c r="C480" i="1"/>
  <c r="C125" i="1"/>
  <c r="C96" i="1"/>
  <c r="C164" i="1"/>
  <c r="C649" i="1"/>
  <c r="C730" i="1"/>
  <c r="C635" i="1"/>
  <c r="C543" i="1"/>
  <c r="C412" i="1"/>
  <c r="C67" i="1"/>
  <c r="C65" i="1"/>
  <c r="C708" i="1"/>
  <c r="C424" i="1"/>
  <c r="C691" i="1"/>
  <c r="C685" i="1"/>
  <c r="C680" i="1"/>
  <c r="C675" i="1"/>
  <c r="C36" i="1"/>
  <c r="C690" i="1"/>
  <c r="C683" i="1"/>
  <c r="C676" i="1"/>
  <c r="C688" i="1"/>
  <c r="C681" i="1"/>
  <c r="C673" i="1"/>
  <c r="C687" i="1"/>
  <c r="C530" i="1"/>
  <c r="C631" i="1"/>
  <c r="C736" i="1"/>
  <c r="C459" i="1"/>
  <c r="C463" i="1"/>
  <c r="C628" i="1"/>
  <c r="C623" i="1"/>
  <c r="C618" i="1"/>
  <c r="C625" i="1"/>
  <c r="B429" i="1"/>
  <c r="B147" i="1"/>
  <c r="B146" i="1"/>
  <c r="B115" i="1"/>
  <c r="B96" i="1"/>
  <c r="B612" i="1"/>
  <c r="B688" i="1"/>
  <c r="A233" i="1"/>
  <c r="A219" i="1"/>
  <c r="A191" i="1"/>
  <c r="A515" i="1"/>
  <c r="A527" i="1"/>
  <c r="A539" i="1"/>
  <c r="A511" i="1"/>
  <c r="A523" i="1"/>
  <c r="A535" i="1"/>
  <c r="A510" i="1"/>
  <c r="A522" i="1"/>
  <c r="A534" i="1"/>
  <c r="A507" i="1"/>
  <c r="A519" i="1"/>
  <c r="A531" i="1"/>
  <c r="A387" i="1"/>
  <c r="A373" i="1"/>
  <c r="A345" i="1"/>
  <c r="A331" i="1"/>
  <c r="A150" i="1"/>
  <c r="A275" i="1"/>
  <c r="A261" i="1"/>
  <c r="C178" i="1"/>
  <c r="B561" i="1"/>
  <c r="B607" i="1"/>
  <c r="B606" i="1"/>
  <c r="B603" i="1"/>
  <c r="B14" i="1"/>
  <c r="B693" i="1"/>
  <c r="B604" i="1"/>
  <c r="B13" i="1"/>
  <c r="B732" i="1"/>
  <c r="B731" i="1"/>
  <c r="B669" i="1"/>
  <c r="B666" i="1"/>
  <c r="B609" i="1"/>
  <c r="B596" i="1"/>
  <c r="B639" i="1"/>
  <c r="B701" i="1"/>
  <c r="B700" i="1"/>
  <c r="B744" i="1"/>
  <c r="B743" i="1"/>
  <c r="B591" i="1"/>
  <c r="B56" i="1"/>
  <c r="B55" i="1"/>
  <c r="B52" i="1"/>
  <c r="B51" i="1"/>
  <c r="B49" i="1"/>
  <c r="B48" i="1"/>
  <c r="B738" i="1"/>
  <c r="B737" i="1"/>
  <c r="B638" i="1"/>
  <c r="B637" i="1"/>
  <c r="B636" i="1"/>
  <c r="B571" i="1"/>
  <c r="B540" i="1"/>
  <c r="B539" i="1"/>
  <c r="B538" i="1"/>
  <c r="B537" i="1"/>
  <c r="B536" i="1"/>
  <c r="B535" i="1"/>
  <c r="B534" i="1"/>
  <c r="B533" i="1"/>
  <c r="B532" i="1"/>
  <c r="B531" i="1"/>
  <c r="B528" i="1"/>
  <c r="B527" i="1"/>
  <c r="B526" i="1"/>
  <c r="B525" i="1"/>
  <c r="B524" i="1"/>
  <c r="B523" i="1"/>
  <c r="B522" i="1"/>
  <c r="B521" i="1"/>
  <c r="B520" i="1"/>
  <c r="B519" i="1"/>
  <c r="B490" i="1"/>
  <c r="B489" i="1"/>
  <c r="B488" i="1"/>
  <c r="B487" i="1"/>
  <c r="B486" i="1"/>
  <c r="B485" i="1"/>
  <c r="B484" i="1"/>
  <c r="B483" i="1"/>
  <c r="B482" i="1"/>
  <c r="B481" i="1"/>
  <c r="B478" i="1"/>
  <c r="B477" i="1"/>
  <c r="B476" i="1"/>
  <c r="B475" i="1"/>
  <c r="B474" i="1"/>
  <c r="B473" i="1"/>
  <c r="B472" i="1"/>
  <c r="B471" i="1"/>
  <c r="B470" i="1"/>
  <c r="B458" i="1"/>
  <c r="B469" i="1"/>
  <c r="B442" i="1"/>
  <c r="B441" i="1"/>
  <c r="B440" i="1"/>
  <c r="B439" i="1"/>
  <c r="B438" i="1"/>
  <c r="B437" i="1"/>
  <c r="B436" i="1"/>
  <c r="B435" i="1"/>
  <c r="B434" i="1"/>
  <c r="B433" i="1"/>
  <c r="B80" i="1"/>
  <c r="B79" i="1"/>
  <c r="B77" i="1"/>
  <c r="B75" i="1"/>
  <c r="B71" i="1"/>
  <c r="B63" i="1"/>
  <c r="B30" i="1"/>
  <c r="A844" i="1"/>
  <c r="A856" i="1"/>
  <c r="A845" i="1"/>
  <c r="A857" i="1"/>
  <c r="A846" i="1"/>
  <c r="A847" i="1"/>
  <c r="A848" i="1"/>
  <c r="A860" i="1"/>
  <c r="A849" i="1"/>
  <c r="A861" i="1"/>
  <c r="A850" i="1"/>
  <c r="A862" i="1"/>
  <c r="A851" i="1"/>
  <c r="A863" i="1"/>
  <c r="A852" i="1"/>
  <c r="A864" i="1"/>
  <c r="A853" i="1"/>
  <c r="A865" i="1"/>
  <c r="A858" i="1"/>
  <c r="A859" i="1"/>
  <c r="B543" i="1"/>
  <c r="B412" i="1"/>
  <c r="A445" i="1"/>
  <c r="A457" i="1"/>
  <c r="A469" i="1"/>
  <c r="A481" i="1"/>
  <c r="A446" i="1"/>
  <c r="A458" i="1"/>
  <c r="A447" i="1"/>
  <c r="A459" i="1"/>
  <c r="A471" i="1"/>
  <c r="A483" i="1"/>
  <c r="A448" i="1"/>
  <c r="A460" i="1"/>
  <c r="A472" i="1"/>
  <c r="A484" i="1"/>
  <c r="A449" i="1"/>
  <c r="A461" i="1"/>
  <c r="A473" i="1"/>
  <c r="A485" i="1"/>
  <c r="A450" i="1"/>
  <c r="A462" i="1"/>
  <c r="A474" i="1"/>
  <c r="A486" i="1"/>
  <c r="A451" i="1"/>
  <c r="A463" i="1"/>
  <c r="A475" i="1"/>
  <c r="A487" i="1"/>
  <c r="A452" i="1"/>
  <c r="A464" i="1"/>
  <c r="A476" i="1"/>
  <c r="A488" i="1"/>
  <c r="A453" i="1"/>
  <c r="A465" i="1"/>
  <c r="A477" i="1"/>
  <c r="A489" i="1"/>
  <c r="A454" i="1"/>
  <c r="A466" i="1"/>
  <c r="A478" i="1"/>
  <c r="A490" i="1"/>
  <c r="A470" i="1"/>
  <c r="A482" i="1"/>
  <c r="A513" i="1"/>
  <c r="A525" i="1"/>
  <c r="A537" i="1"/>
  <c r="A509" i="1"/>
  <c r="A521" i="1"/>
  <c r="A533" i="1"/>
  <c r="B675" i="1"/>
  <c r="B36" i="1"/>
  <c r="B676" i="1"/>
  <c r="B684" i="1"/>
  <c r="B687" i="1"/>
  <c r="B673" i="1"/>
  <c r="B680" i="1"/>
  <c r="B25" i="1"/>
  <c r="B692" i="1"/>
  <c r="B685" i="1"/>
  <c r="B699" i="1"/>
  <c r="B37" i="1"/>
  <c r="B82" i="1"/>
  <c r="B457" i="1"/>
  <c r="B461" i="1"/>
  <c r="B465" i="1"/>
  <c r="B464" i="1"/>
  <c r="B742" i="1"/>
  <c r="B589" i="1"/>
  <c r="B601" i="1"/>
  <c r="B736" i="1"/>
  <c r="B576" i="1"/>
  <c r="B462" i="1"/>
  <c r="B466" i="1"/>
  <c r="B460" i="1"/>
  <c r="B625" i="1"/>
  <c r="B730" i="1"/>
  <c r="B28" i="1"/>
  <c r="C45" i="1"/>
  <c r="C220" i="1"/>
  <c r="C206" i="1"/>
  <c r="A514" i="1"/>
  <c r="A526" i="1"/>
  <c r="A538" i="1"/>
  <c r="B590" i="1"/>
  <c r="B74" i="1"/>
  <c r="B29" i="1"/>
  <c r="B480" i="1"/>
  <c r="B530" i="1"/>
  <c r="B510" i="1"/>
  <c r="B498" i="1"/>
  <c r="B635" i="1"/>
  <c r="B125" i="1"/>
  <c r="B33" i="1"/>
  <c r="C509" i="1"/>
  <c r="C497" i="1"/>
  <c r="C507" i="1"/>
  <c r="C511" i="1"/>
  <c r="C499" i="1"/>
  <c r="C762" i="1"/>
  <c r="B762" i="1"/>
  <c r="B624" i="1"/>
  <c r="B627" i="1"/>
  <c r="B459" i="1"/>
  <c r="B463" i="1"/>
  <c r="B628" i="1"/>
  <c r="B649" i="1"/>
  <c r="B511" i="1"/>
  <c r="B499" i="1"/>
  <c r="B514" i="1"/>
  <c r="B502" i="1"/>
  <c r="B597" i="1"/>
  <c r="B34" i="1"/>
  <c r="B634" i="1"/>
  <c r="B581" i="1"/>
  <c r="B414" i="1"/>
  <c r="B757" i="1"/>
  <c r="A508" i="1"/>
  <c r="A520" i="1"/>
  <c r="A532" i="1"/>
  <c r="A512" i="1"/>
  <c r="A524" i="1"/>
  <c r="A536" i="1"/>
  <c r="A516" i="1"/>
  <c r="A528" i="1"/>
  <c r="A540" i="1"/>
  <c r="B178" i="1"/>
  <c r="B164" i="1"/>
  <c r="B509" i="1"/>
  <c r="B497" i="1"/>
  <c r="B508" i="1"/>
  <c r="B496" i="1"/>
  <c r="B67" i="1"/>
  <c r="B68" i="1"/>
  <c r="B65" i="1"/>
  <c r="B70" i="1"/>
  <c r="B802" i="1"/>
  <c r="B631" i="1"/>
  <c r="B206" i="1"/>
  <c r="B622" i="1"/>
  <c r="B621" i="1"/>
  <c r="B618" i="1"/>
  <c r="B629" i="1"/>
  <c r="B623" i="1"/>
  <c r="C586" i="1"/>
  <c r="C37" i="1"/>
  <c r="B683" i="1"/>
  <c r="B690" i="1"/>
  <c r="B695" i="1"/>
  <c r="B598" i="1"/>
  <c r="B681" i="1"/>
  <c r="B677" i="1"/>
  <c r="B678" i="1"/>
  <c r="B691" i="1"/>
  <c r="B665" i="1"/>
  <c r="B663" i="1"/>
  <c r="C105" i="1"/>
  <c r="C104" i="1"/>
  <c r="C116" i="1"/>
  <c r="C107" i="1"/>
  <c r="C576" i="1"/>
  <c r="C33" i="1"/>
  <c r="C495" i="1"/>
  <c r="C25" i="1"/>
  <c r="C85" i="1"/>
  <c r="C32" i="1"/>
  <c r="C28" i="1"/>
  <c r="C572" i="1"/>
  <c r="C516" i="1"/>
  <c r="C504" i="1"/>
  <c r="C510" i="1"/>
  <c r="C498" i="1"/>
  <c r="C514" i="1"/>
  <c r="C502" i="1"/>
  <c r="C508" i="1"/>
  <c r="C496" i="1"/>
  <c r="C513" i="1"/>
  <c r="C501" i="1"/>
  <c r="C512" i="1"/>
  <c r="C500" i="1"/>
  <c r="C515" i="1"/>
  <c r="C503" i="1"/>
  <c r="C456" i="1"/>
  <c r="C451" i="1"/>
  <c r="B586" i="1"/>
  <c r="B507" i="1"/>
  <c r="B512" i="1"/>
  <c r="B500" i="1"/>
  <c r="B516" i="1"/>
  <c r="B504" i="1"/>
  <c r="B513" i="1"/>
  <c r="B501" i="1"/>
  <c r="B572" i="1"/>
  <c r="B220" i="1"/>
  <c r="B515" i="1"/>
  <c r="B503" i="1"/>
  <c r="B595" i="1"/>
  <c r="B592" i="1"/>
  <c r="B456" i="1"/>
  <c r="B453" i="1"/>
  <c r="B713" i="1"/>
  <c r="B587" i="1"/>
  <c r="B588" i="1"/>
  <c r="B116" i="1"/>
  <c r="B107" i="1"/>
  <c r="B800" i="1"/>
  <c r="B105" i="1"/>
  <c r="B104" i="1"/>
  <c r="B495" i="1"/>
  <c r="B450" i="1"/>
  <c r="B452" i="1"/>
  <c r="C262" i="1"/>
  <c r="B262" i="1"/>
  <c r="C447" i="1"/>
  <c r="C643" i="1"/>
  <c r="C35" i="1"/>
  <c r="C506" i="1"/>
  <c r="C707" i="1"/>
  <c r="C494" i="1"/>
  <c r="C763" i="1"/>
  <c r="C449" i="1"/>
  <c r="C453" i="1"/>
  <c r="C446" i="1"/>
  <c r="C454" i="1"/>
  <c r="C448" i="1"/>
  <c r="C445" i="1"/>
  <c r="C452" i="1"/>
  <c r="C450" i="1"/>
  <c r="B494" i="1"/>
  <c r="B763" i="1"/>
  <c r="B829" i="1"/>
  <c r="B428" i="1"/>
  <c r="B506" i="1"/>
  <c r="B449" i="1"/>
  <c r="B445" i="1"/>
  <c r="B585" i="1"/>
  <c r="B248" i="1"/>
  <c r="B137" i="1"/>
  <c r="B447" i="1"/>
  <c r="B35" i="1"/>
  <c r="B448" i="1"/>
  <c r="B454" i="1"/>
  <c r="C829" i="1"/>
  <c r="C428" i="1"/>
  <c r="B446" i="1"/>
  <c r="B451" i="1"/>
  <c r="B643" i="1"/>
  <c r="B390" i="1"/>
  <c r="B292" i="1"/>
  <c r="B582" i="1"/>
  <c r="B418" i="1"/>
  <c r="C290" i="1"/>
  <c r="B290" i="1"/>
  <c r="C248" i="1"/>
  <c r="C444" i="1"/>
  <c r="B432" i="1"/>
  <c r="B758" i="1"/>
  <c r="B828" i="1"/>
  <c r="B426" i="1"/>
  <c r="B444" i="1"/>
  <c r="B896" i="1"/>
  <c r="B557" i="1"/>
  <c r="B551" i="1"/>
  <c r="B753" i="1"/>
  <c r="B293" i="1"/>
  <c r="B391" i="1"/>
  <c r="C560" i="1"/>
  <c r="C137" i="1"/>
  <c r="B560" i="1"/>
  <c r="B294" i="1"/>
  <c r="B392" i="1"/>
  <c r="B320" i="1"/>
  <c r="B321" i="1"/>
  <c r="B322" i="1"/>
  <c r="B124" i="1"/>
  <c r="C124" i="1"/>
  <c r="C665" i="1"/>
  <c r="C663" i="1"/>
  <c r="C582" i="1"/>
  <c r="C418" i="1"/>
  <c r="C416" i="1"/>
  <c r="B295" i="1"/>
  <c r="B296" i="1"/>
  <c r="B323" i="1"/>
  <c r="B393" i="1"/>
  <c r="B394" i="1"/>
  <c r="C234" i="1"/>
  <c r="B395" i="1"/>
  <c r="B297" i="1"/>
  <c r="B234" i="1"/>
  <c r="B298" i="1"/>
  <c r="C388" i="1"/>
  <c r="B388" i="1"/>
  <c r="B299" i="1"/>
  <c r="B366" i="1"/>
  <c r="B363" i="1"/>
  <c r="B364" i="1"/>
  <c r="B362" i="1"/>
  <c r="B367" i="1"/>
  <c r="B365" i="1"/>
  <c r="B369" i="1"/>
  <c r="B376" i="1"/>
  <c r="B368" i="1"/>
  <c r="B396" i="1"/>
  <c r="B348" i="1"/>
  <c r="B300" i="1"/>
  <c r="B397" i="1"/>
  <c r="C278" i="1"/>
  <c r="C249" i="1"/>
  <c r="B249" i="1"/>
  <c r="C306" i="1"/>
  <c r="B278" i="1"/>
  <c r="B377" i="1"/>
  <c r="B333" i="1"/>
  <c r="B334" i="1"/>
  <c r="C194" i="1"/>
  <c r="C180" i="1"/>
  <c r="B263" i="1"/>
  <c r="C250" i="1"/>
  <c r="C235" i="1"/>
  <c r="C279" i="1"/>
  <c r="B276" i="1"/>
  <c r="C264" i="1"/>
  <c r="B378" i="1"/>
  <c r="B279" i="1"/>
  <c r="B349" i="1"/>
  <c r="B250" i="1"/>
  <c r="B235" i="1"/>
  <c r="C263" i="1"/>
  <c r="C276" i="1"/>
  <c r="B306" i="1"/>
  <c r="B194" i="1"/>
  <c r="B180" i="1"/>
  <c r="B264" i="1"/>
  <c r="C154" i="1"/>
  <c r="B370" i="1"/>
  <c r="B154" i="1"/>
  <c r="B379" i="1"/>
  <c r="B280" i="1"/>
  <c r="B350" i="1"/>
  <c r="C251" i="1"/>
  <c r="C236" i="1"/>
  <c r="B251" i="1"/>
  <c r="B236" i="1"/>
  <c r="C307" i="1"/>
  <c r="B335" i="1"/>
  <c r="B307" i="1"/>
  <c r="B195" i="1"/>
  <c r="B181" i="1"/>
  <c r="C280" i="1"/>
  <c r="C308" i="1"/>
  <c r="C266" i="1"/>
  <c r="B265" i="1"/>
  <c r="C156" i="1"/>
  <c r="B398" i="1"/>
  <c r="B156" i="1"/>
  <c r="C281" i="1"/>
  <c r="C265" i="1"/>
  <c r="C195" i="1"/>
  <c r="C181" i="1"/>
  <c r="C252" i="1"/>
  <c r="C253" i="1"/>
  <c r="C237" i="1"/>
  <c r="B281" i="1"/>
  <c r="B380" i="1"/>
  <c r="B351" i="1"/>
  <c r="B252" i="1"/>
  <c r="B237" i="1"/>
  <c r="B336" i="1"/>
  <c r="B308" i="1"/>
  <c r="B196" i="1"/>
  <c r="B182" i="1"/>
  <c r="C196" i="1"/>
  <c r="C182" i="1"/>
  <c r="C238" i="1"/>
  <c r="C282" i="1"/>
  <c r="C254" i="1"/>
  <c r="B309" i="1"/>
  <c r="B197" i="1"/>
  <c r="B183" i="1"/>
  <c r="B337" i="1"/>
  <c r="C309" i="1"/>
  <c r="C267" i="1"/>
  <c r="B253" i="1"/>
  <c r="B238" i="1"/>
  <c r="B352" i="1"/>
  <c r="B381" i="1"/>
  <c r="B282" i="1"/>
  <c r="B266" i="1"/>
  <c r="B338" i="1"/>
  <c r="B547" i="1"/>
  <c r="B151" i="1"/>
  <c r="B324" i="1"/>
  <c r="B310" i="1"/>
  <c r="B198" i="1"/>
  <c r="B184" i="1"/>
  <c r="C310" i="1"/>
  <c r="C198" i="1"/>
  <c r="C283" i="1"/>
  <c r="B254" i="1"/>
  <c r="B239" i="1"/>
  <c r="B283" i="1"/>
  <c r="B382" i="1"/>
  <c r="B353" i="1"/>
  <c r="C239" i="1"/>
  <c r="C197" i="1"/>
  <c r="C183" i="1"/>
  <c r="B267" i="1"/>
  <c r="B268" i="1"/>
  <c r="C184" i="1"/>
  <c r="B325" i="1"/>
  <c r="B311" i="1"/>
  <c r="B199" i="1"/>
  <c r="B185" i="1"/>
  <c r="B339" i="1"/>
  <c r="B284" i="1"/>
  <c r="B383" i="1"/>
  <c r="B354" i="1"/>
  <c r="B255" i="1"/>
  <c r="B240" i="1"/>
  <c r="C284" i="1"/>
  <c r="C240" i="1"/>
  <c r="C268" i="1"/>
  <c r="C311" i="1"/>
  <c r="C255" i="1"/>
  <c r="C256" i="1"/>
  <c r="B269" i="1"/>
  <c r="C241" i="1"/>
  <c r="C199" i="1"/>
  <c r="C185" i="1"/>
  <c r="C312" i="1"/>
  <c r="B256" i="1"/>
  <c r="B241" i="1"/>
  <c r="C269" i="1"/>
  <c r="C285" i="1"/>
  <c r="B340" i="1"/>
  <c r="B326" i="1"/>
  <c r="B312" i="1"/>
  <c r="B200" i="1"/>
  <c r="B186" i="1"/>
  <c r="B384" i="1"/>
  <c r="B285" i="1"/>
  <c r="B355" i="1"/>
  <c r="C257" i="1"/>
  <c r="B286" i="1"/>
  <c r="B155" i="1"/>
  <c r="B153" i="1"/>
  <c r="B356" i="1"/>
  <c r="C242" i="1"/>
  <c r="C200" i="1"/>
  <c r="C186" i="1"/>
  <c r="C270" i="1"/>
  <c r="C313" i="1"/>
  <c r="C201" i="1"/>
  <c r="B327" i="1"/>
  <c r="B313" i="1"/>
  <c r="B201" i="1"/>
  <c r="B187" i="1"/>
  <c r="B341" i="1"/>
  <c r="B257" i="1"/>
  <c r="B242" i="1"/>
  <c r="B271" i="1"/>
  <c r="C155" i="1"/>
  <c r="C153" i="1"/>
  <c r="B270" i="1"/>
  <c r="C258" i="1"/>
  <c r="C136" i="1"/>
  <c r="C135" i="1"/>
  <c r="C187" i="1"/>
  <c r="C243" i="1"/>
  <c r="C342" i="1"/>
  <c r="C152" i="1"/>
  <c r="B328" i="1"/>
  <c r="B314" i="1"/>
  <c r="B272" i="1"/>
  <c r="B342" i="1"/>
  <c r="B152" i="1"/>
  <c r="C150" i="1"/>
  <c r="C120" i="1"/>
  <c r="C103" i="1"/>
  <c r="C140" i="1"/>
  <c r="B258" i="1"/>
  <c r="B243" i="1"/>
  <c r="B120" i="1"/>
  <c r="B140" i="1"/>
  <c r="C271" i="1"/>
  <c r="B202" i="1"/>
  <c r="B134" i="1"/>
  <c r="C244" i="1"/>
  <c r="C131" i="1"/>
  <c r="C134" i="1"/>
  <c r="C132" i="1"/>
  <c r="C272" i="1"/>
  <c r="C149" i="1"/>
  <c r="C145" i="1"/>
  <c r="C118" i="1"/>
  <c r="C119" i="1"/>
  <c r="C109" i="1"/>
  <c r="B136" i="1"/>
  <c r="B135" i="1"/>
  <c r="B244" i="1"/>
  <c r="B131" i="1"/>
  <c r="C97" i="1"/>
  <c r="C112" i="1"/>
  <c r="C113" i="1"/>
  <c r="C108" i="1"/>
  <c r="C102" i="1"/>
  <c r="C188" i="1"/>
  <c r="B132" i="1"/>
  <c r="C139" i="1"/>
  <c r="C148" i="1"/>
  <c r="B188" i="1"/>
  <c r="C95" i="1"/>
  <c r="C101" i="1"/>
  <c r="C432" i="1"/>
  <c r="C758" i="1"/>
  <c r="C828" i="1"/>
  <c r="C426" i="1"/>
  <c r="D432" i="1"/>
  <c r="D758" i="1"/>
  <c r="D828" i="1"/>
  <c r="D426" i="1"/>
  <c r="D494" i="1"/>
  <c r="D763" i="1"/>
  <c r="D829" i="1"/>
  <c r="D428" i="1"/>
  <c r="E432" i="1"/>
  <c r="E758" i="1"/>
  <c r="E828" i="1"/>
  <c r="E426" i="1"/>
  <c r="E494" i="1"/>
  <c r="E763" i="1"/>
  <c r="E829" i="1"/>
  <c r="E428" i="1"/>
  <c r="F432" i="1"/>
  <c r="F758" i="1"/>
  <c r="F828" i="1"/>
  <c r="F426" i="1"/>
  <c r="F494" i="1"/>
  <c r="F763" i="1"/>
  <c r="F829" i="1"/>
  <c r="F428" i="1"/>
  <c r="G432" i="1"/>
  <c r="G758" i="1"/>
  <c r="G828" i="1"/>
  <c r="G426" i="1"/>
  <c r="G494" i="1"/>
  <c r="G763" i="1"/>
  <c r="G829" i="1"/>
  <c r="G428" i="1"/>
  <c r="H432" i="1"/>
  <c r="H758" i="1"/>
  <c r="H828" i="1"/>
  <c r="H426" i="1"/>
  <c r="H494" i="1"/>
  <c r="H763" i="1"/>
  <c r="H829" i="1"/>
  <c r="H428" i="1"/>
  <c r="I432" i="1"/>
  <c r="I758" i="1"/>
  <c r="I828" i="1"/>
  <c r="I426" i="1"/>
  <c r="I494" i="1"/>
  <c r="I763" i="1"/>
  <c r="I829" i="1"/>
  <c r="I428" i="1"/>
  <c r="I67" i="1"/>
  <c r="I70" i="1"/>
  <c r="J432" i="1"/>
  <c r="J758" i="1"/>
  <c r="J828" i="1"/>
  <c r="J426" i="1"/>
  <c r="K432" i="1"/>
  <c r="K758" i="1"/>
  <c r="K828" i="1"/>
  <c r="K426" i="1"/>
  <c r="L432" i="1"/>
  <c r="L758" i="1"/>
  <c r="L828" i="1"/>
  <c r="L426" i="1"/>
  <c r="M432" i="1"/>
  <c r="M758" i="1"/>
  <c r="M828" i="1"/>
  <c r="M426" i="1"/>
  <c r="J494" i="1"/>
  <c r="J763" i="1"/>
  <c r="J829" i="1"/>
  <c r="J428" i="1"/>
  <c r="K494" i="1"/>
  <c r="K763" i="1"/>
  <c r="K829" i="1"/>
  <c r="K428" i="1"/>
  <c r="L494" i="1"/>
  <c r="L763" i="1"/>
  <c r="L829" i="1"/>
  <c r="L428" i="1"/>
  <c r="M494" i="1"/>
  <c r="M763" i="1"/>
  <c r="M829" i="1"/>
  <c r="M428" i="1"/>
  <c r="B53" i="1"/>
  <c r="B44" i="1"/>
  <c r="B45" i="1"/>
  <c r="B424" i="1"/>
  <c r="B85" i="1"/>
  <c r="B32" i="1"/>
  <c r="B150" i="1"/>
  <c r="B149" i="1"/>
  <c r="B145" i="1"/>
  <c r="B118" i="1"/>
  <c r="B102" i="1"/>
  <c r="B95" i="1"/>
  <c r="B88" i="1"/>
  <c r="B97" i="1"/>
  <c r="B123" i="1"/>
  <c r="B103" i="1"/>
  <c r="B101" i="1"/>
  <c r="B119" i="1"/>
  <c r="B112" i="1"/>
  <c r="B113" i="1"/>
  <c r="B108" i="1"/>
  <c r="B109" i="1"/>
  <c r="B139" i="1"/>
  <c r="B148" i="1"/>
  <c r="B546" i="1"/>
  <c r="B416" i="1"/>
  <c r="B708" i="1"/>
  <c r="B707" i="1"/>
  <c r="G67" i="1"/>
  <c r="H67" i="1"/>
  <c r="K67" i="1"/>
  <c r="L67" i="1"/>
  <c r="G70" i="1"/>
  <c r="H70" i="1"/>
  <c r="K70" i="1"/>
  <c r="L70" i="1"/>
  <c r="B11" i="1"/>
  <c r="C11" i="1"/>
  <c r="D11" i="1"/>
  <c r="E11" i="1"/>
  <c r="F11" i="1"/>
  <c r="G11" i="1"/>
  <c r="H11" i="1"/>
  <c r="I11" i="1"/>
  <c r="J11" i="1"/>
  <c r="K11" i="1"/>
  <c r="L11" i="1"/>
  <c r="M11" i="1"/>
  <c r="B12" i="1"/>
  <c r="C12" i="1"/>
  <c r="D12" i="1"/>
  <c r="E12" i="1"/>
  <c r="F12" i="1"/>
  <c r="G12" i="1"/>
  <c r="H12" i="1"/>
  <c r="I12" i="1"/>
  <c r="J12" i="1"/>
  <c r="K12" i="1"/>
  <c r="L12" i="1"/>
  <c r="M12" i="1"/>
  <c r="B23" i="1"/>
  <c r="C23" i="1"/>
  <c r="D23" i="1"/>
  <c r="E23" i="1"/>
  <c r="F23" i="1"/>
  <c r="G23" i="1"/>
  <c r="H23" i="1"/>
  <c r="I23" i="1"/>
  <c r="J23" i="1"/>
  <c r="K23" i="1"/>
  <c r="L23" i="1"/>
  <c r="M23" i="1"/>
  <c r="B24" i="1"/>
  <c r="C24" i="1"/>
  <c r="D24" i="1"/>
  <c r="E24" i="1"/>
  <c r="F24" i="1"/>
  <c r="G24" i="1"/>
  <c r="H24" i="1"/>
  <c r="I24" i="1"/>
  <c r="J24" i="1"/>
  <c r="K24" i="1"/>
  <c r="L24" i="1"/>
  <c r="M24" i="1"/>
  <c r="B27" i="1"/>
  <c r="C27" i="1"/>
  <c r="D27" i="1"/>
  <c r="E27" i="1"/>
  <c r="F27" i="1"/>
  <c r="G27" i="1"/>
  <c r="H27" i="1"/>
  <c r="I27" i="1"/>
  <c r="J27" i="1"/>
  <c r="K27" i="1"/>
  <c r="L27" i="1"/>
  <c r="M27" i="1"/>
  <c r="B31" i="1"/>
  <c r="C31" i="1"/>
  <c r="D31" i="1"/>
  <c r="E31" i="1"/>
  <c r="F31" i="1"/>
  <c r="G31" i="1"/>
  <c r="H31" i="1"/>
  <c r="I31" i="1"/>
  <c r="J31" i="1"/>
  <c r="K31" i="1"/>
  <c r="L31" i="1"/>
  <c r="M31" i="1"/>
  <c r="B39" i="1"/>
  <c r="C39" i="1"/>
  <c r="D39" i="1"/>
  <c r="E39" i="1"/>
  <c r="F39" i="1"/>
  <c r="G39" i="1"/>
  <c r="H39" i="1"/>
  <c r="I39" i="1"/>
  <c r="J39" i="1"/>
  <c r="K39" i="1"/>
  <c r="L39" i="1"/>
  <c r="M39" i="1"/>
  <c r="B43" i="1"/>
  <c r="C43" i="1"/>
  <c r="D43" i="1"/>
  <c r="E43" i="1"/>
  <c r="F43" i="1"/>
  <c r="G43" i="1"/>
  <c r="H43" i="1"/>
  <c r="I43" i="1"/>
  <c r="J43" i="1"/>
  <c r="K43" i="1"/>
  <c r="L43" i="1"/>
  <c r="M43" i="1"/>
  <c r="B46" i="1"/>
  <c r="C46" i="1"/>
  <c r="D46" i="1"/>
  <c r="E46" i="1"/>
  <c r="F46" i="1"/>
  <c r="G46" i="1"/>
  <c r="H46" i="1"/>
  <c r="I46" i="1"/>
  <c r="J46" i="1"/>
  <c r="K46" i="1"/>
  <c r="L46" i="1"/>
  <c r="M46" i="1"/>
  <c r="B59" i="1"/>
  <c r="C59" i="1"/>
  <c r="D59" i="1"/>
  <c r="E59" i="1"/>
  <c r="F59" i="1"/>
  <c r="G59" i="1"/>
  <c r="H59" i="1"/>
  <c r="I59" i="1"/>
  <c r="J59" i="1"/>
  <c r="K59" i="1"/>
  <c r="L59" i="1"/>
  <c r="M59" i="1"/>
  <c r="B64" i="1"/>
  <c r="C64" i="1"/>
  <c r="D64" i="1"/>
  <c r="E64" i="1"/>
  <c r="F64" i="1"/>
  <c r="G64" i="1"/>
  <c r="H64" i="1"/>
  <c r="I64" i="1"/>
  <c r="J64" i="1"/>
  <c r="K64" i="1"/>
  <c r="L64" i="1"/>
  <c r="M64" i="1"/>
  <c r="B91" i="1"/>
  <c r="C91" i="1"/>
  <c r="D91" i="1"/>
  <c r="E91" i="1"/>
  <c r="F91" i="1"/>
  <c r="G91" i="1"/>
  <c r="H91" i="1"/>
  <c r="I91" i="1"/>
  <c r="J91" i="1"/>
  <c r="K91" i="1"/>
  <c r="L91" i="1"/>
  <c r="M91" i="1"/>
  <c r="B92" i="1"/>
  <c r="C92" i="1"/>
  <c r="D92" i="1"/>
  <c r="E92" i="1"/>
  <c r="F92" i="1"/>
  <c r="G92" i="1"/>
  <c r="H92" i="1"/>
  <c r="I92" i="1"/>
  <c r="J92" i="1"/>
  <c r="K92" i="1"/>
  <c r="L92" i="1"/>
  <c r="M92" i="1"/>
  <c r="B93" i="1"/>
  <c r="C93" i="1"/>
  <c r="D93" i="1"/>
  <c r="E93" i="1"/>
  <c r="F93" i="1"/>
  <c r="G93" i="1"/>
  <c r="H93" i="1"/>
  <c r="I93" i="1"/>
  <c r="J93" i="1"/>
  <c r="K93" i="1"/>
  <c r="L93" i="1"/>
  <c r="M93" i="1"/>
  <c r="H95" i="1"/>
  <c r="L95" i="1"/>
  <c r="H97" i="1"/>
  <c r="L97" i="1"/>
  <c r="H101" i="1"/>
  <c r="L101" i="1"/>
  <c r="H102" i="1"/>
  <c r="L102" i="1"/>
  <c r="H108" i="1"/>
  <c r="L108" i="1"/>
  <c r="B110" i="1"/>
  <c r="C110" i="1"/>
  <c r="D110" i="1"/>
  <c r="E110" i="1"/>
  <c r="F110" i="1"/>
  <c r="G110" i="1"/>
  <c r="H110" i="1"/>
  <c r="I110" i="1"/>
  <c r="J110" i="1"/>
  <c r="K110" i="1"/>
  <c r="L110" i="1"/>
  <c r="M110" i="1"/>
  <c r="H112" i="1"/>
  <c r="L112" i="1"/>
  <c r="H113" i="1"/>
  <c r="L113" i="1"/>
  <c r="H118" i="1"/>
  <c r="L118" i="1"/>
  <c r="B122" i="1"/>
  <c r="C122" i="1"/>
  <c r="D122" i="1"/>
  <c r="E122" i="1"/>
  <c r="F122" i="1"/>
  <c r="G122" i="1"/>
  <c r="H122" i="1"/>
  <c r="I122" i="1"/>
  <c r="J122" i="1"/>
  <c r="K122" i="1"/>
  <c r="L122" i="1"/>
  <c r="M122" i="1"/>
  <c r="B128" i="1"/>
  <c r="C128" i="1"/>
  <c r="D128" i="1"/>
  <c r="E128" i="1"/>
  <c r="F128" i="1"/>
  <c r="G128" i="1"/>
  <c r="H128" i="1"/>
  <c r="I128" i="1"/>
  <c r="J128" i="1"/>
  <c r="K128" i="1"/>
  <c r="L128" i="1"/>
  <c r="M128" i="1"/>
  <c r="B129" i="1"/>
  <c r="C129" i="1"/>
  <c r="D129" i="1"/>
  <c r="E129" i="1"/>
  <c r="F129" i="1"/>
  <c r="G129" i="1"/>
  <c r="H129" i="1"/>
  <c r="I129" i="1"/>
  <c r="J129" i="1"/>
  <c r="K129" i="1"/>
  <c r="L129" i="1"/>
  <c r="M129" i="1"/>
  <c r="H139" i="1"/>
  <c r="L139" i="1"/>
  <c r="H145" i="1"/>
  <c r="L145" i="1"/>
  <c r="H147" i="1"/>
  <c r="L147" i="1"/>
  <c r="H148" i="1"/>
  <c r="L148" i="1"/>
  <c r="H149" i="1"/>
  <c r="L149" i="1"/>
  <c r="B165" i="1"/>
  <c r="C165" i="1"/>
  <c r="D165" i="1"/>
  <c r="E165" i="1"/>
  <c r="F165" i="1"/>
  <c r="G165" i="1"/>
  <c r="H165" i="1"/>
  <c r="I165" i="1"/>
  <c r="J165" i="1"/>
  <c r="K165" i="1"/>
  <c r="L165" i="1"/>
  <c r="M165" i="1"/>
  <c r="B166" i="1"/>
  <c r="C166" i="1"/>
  <c r="D166" i="1"/>
  <c r="E166" i="1"/>
  <c r="F166" i="1"/>
  <c r="G166" i="1"/>
  <c r="H166" i="1"/>
  <c r="I166" i="1"/>
  <c r="J166" i="1"/>
  <c r="K166" i="1"/>
  <c r="L166" i="1"/>
  <c r="M166" i="1"/>
  <c r="B167" i="1"/>
  <c r="C167" i="1"/>
  <c r="D167" i="1"/>
  <c r="E167" i="1"/>
  <c r="F167" i="1"/>
  <c r="G167" i="1"/>
  <c r="H167" i="1"/>
  <c r="I167" i="1"/>
  <c r="J167" i="1"/>
  <c r="K167" i="1"/>
  <c r="L167" i="1"/>
  <c r="M167" i="1"/>
  <c r="B168" i="1"/>
  <c r="C168" i="1"/>
  <c r="D168" i="1"/>
  <c r="E168" i="1"/>
  <c r="F168" i="1"/>
  <c r="G168" i="1"/>
  <c r="H168" i="1"/>
  <c r="I168" i="1"/>
  <c r="J168" i="1"/>
  <c r="K168" i="1"/>
  <c r="L168" i="1"/>
  <c r="M168" i="1"/>
  <c r="B169" i="1"/>
  <c r="C169" i="1"/>
  <c r="D169" i="1"/>
  <c r="E169" i="1"/>
  <c r="F169" i="1"/>
  <c r="G169" i="1"/>
  <c r="H169" i="1"/>
  <c r="I169" i="1"/>
  <c r="J169" i="1"/>
  <c r="K169" i="1"/>
  <c r="L169" i="1"/>
  <c r="M169" i="1"/>
  <c r="B170" i="1"/>
  <c r="C170" i="1"/>
  <c r="D170" i="1"/>
  <c r="E170" i="1"/>
  <c r="F170" i="1"/>
  <c r="G170" i="1"/>
  <c r="H170" i="1"/>
  <c r="I170" i="1"/>
  <c r="J170" i="1"/>
  <c r="K170" i="1"/>
  <c r="L170" i="1"/>
  <c r="M170" i="1"/>
  <c r="B171" i="1"/>
  <c r="C171" i="1"/>
  <c r="D171" i="1"/>
  <c r="E171" i="1"/>
  <c r="F171" i="1"/>
  <c r="G171" i="1"/>
  <c r="H171" i="1"/>
  <c r="I171" i="1"/>
  <c r="J171" i="1"/>
  <c r="K171" i="1"/>
  <c r="L171" i="1"/>
  <c r="M171" i="1"/>
  <c r="B172" i="1"/>
  <c r="C172" i="1"/>
  <c r="D172" i="1"/>
  <c r="E172" i="1"/>
  <c r="F172" i="1"/>
  <c r="G172" i="1"/>
  <c r="H172" i="1"/>
  <c r="I172" i="1"/>
  <c r="J172" i="1"/>
  <c r="K172" i="1"/>
  <c r="L172" i="1"/>
  <c r="M172" i="1"/>
  <c r="B173" i="1"/>
  <c r="C173" i="1"/>
  <c r="D173" i="1"/>
  <c r="E173" i="1"/>
  <c r="F173" i="1"/>
  <c r="G173" i="1"/>
  <c r="H173" i="1"/>
  <c r="I173" i="1"/>
  <c r="J173" i="1"/>
  <c r="K173" i="1"/>
  <c r="L173" i="1"/>
  <c r="M173" i="1"/>
  <c r="B174" i="1"/>
  <c r="C174" i="1"/>
  <c r="D174" i="1"/>
  <c r="E174" i="1"/>
  <c r="F174" i="1"/>
  <c r="G174" i="1"/>
  <c r="H174" i="1"/>
  <c r="I174" i="1"/>
  <c r="J174" i="1"/>
  <c r="K174" i="1"/>
  <c r="L174" i="1"/>
  <c r="M174" i="1"/>
  <c r="B207" i="1"/>
  <c r="C207" i="1"/>
  <c r="D207" i="1"/>
  <c r="E207" i="1"/>
  <c r="F207" i="1"/>
  <c r="G207" i="1"/>
  <c r="H207" i="1"/>
  <c r="I207" i="1"/>
  <c r="J207" i="1"/>
  <c r="K207" i="1"/>
  <c r="L207" i="1"/>
  <c r="M207" i="1"/>
  <c r="B208" i="1"/>
  <c r="C208" i="1"/>
  <c r="D208" i="1"/>
  <c r="E208" i="1"/>
  <c r="F208" i="1"/>
  <c r="G208" i="1"/>
  <c r="H208" i="1"/>
  <c r="I208" i="1"/>
  <c r="J208" i="1"/>
  <c r="K208" i="1"/>
  <c r="L208" i="1"/>
  <c r="M208" i="1"/>
  <c r="B209" i="1"/>
  <c r="C209" i="1"/>
  <c r="D209" i="1"/>
  <c r="E209" i="1"/>
  <c r="F209" i="1"/>
  <c r="G209" i="1"/>
  <c r="H209" i="1"/>
  <c r="I209" i="1"/>
  <c r="J209" i="1"/>
  <c r="K209" i="1"/>
  <c r="L209" i="1"/>
  <c r="M209" i="1"/>
  <c r="B210" i="1"/>
  <c r="C210" i="1"/>
  <c r="D210" i="1"/>
  <c r="E210" i="1"/>
  <c r="F210" i="1"/>
  <c r="G210" i="1"/>
  <c r="H210" i="1"/>
  <c r="I210" i="1"/>
  <c r="J210" i="1"/>
  <c r="K210" i="1"/>
  <c r="L210" i="1"/>
  <c r="M210" i="1"/>
  <c r="B211" i="1"/>
  <c r="C211" i="1"/>
  <c r="D211" i="1"/>
  <c r="E211" i="1"/>
  <c r="F211" i="1"/>
  <c r="G211" i="1"/>
  <c r="H211" i="1"/>
  <c r="I211" i="1"/>
  <c r="J211" i="1"/>
  <c r="K211" i="1"/>
  <c r="L211" i="1"/>
  <c r="M211" i="1"/>
  <c r="B212" i="1"/>
  <c r="C212" i="1"/>
  <c r="D212" i="1"/>
  <c r="E212" i="1"/>
  <c r="F212" i="1"/>
  <c r="G212" i="1"/>
  <c r="H212" i="1"/>
  <c r="I212" i="1"/>
  <c r="J212" i="1"/>
  <c r="K212" i="1"/>
  <c r="L212" i="1"/>
  <c r="M212" i="1"/>
  <c r="B213" i="1"/>
  <c r="C213" i="1"/>
  <c r="D213" i="1"/>
  <c r="E213" i="1"/>
  <c r="F213" i="1"/>
  <c r="G213" i="1"/>
  <c r="H213" i="1"/>
  <c r="I213" i="1"/>
  <c r="J213" i="1"/>
  <c r="K213" i="1"/>
  <c r="L213" i="1"/>
  <c r="M213" i="1"/>
  <c r="B214" i="1"/>
  <c r="C214" i="1"/>
  <c r="D214" i="1"/>
  <c r="E214" i="1"/>
  <c r="F214" i="1"/>
  <c r="G214" i="1"/>
  <c r="H214" i="1"/>
  <c r="I214" i="1"/>
  <c r="J214" i="1"/>
  <c r="K214" i="1"/>
  <c r="L214" i="1"/>
  <c r="M214" i="1"/>
  <c r="B215" i="1"/>
  <c r="C215" i="1"/>
  <c r="D215" i="1"/>
  <c r="E215" i="1"/>
  <c r="F215" i="1"/>
  <c r="G215" i="1"/>
  <c r="H215" i="1"/>
  <c r="I215" i="1"/>
  <c r="J215" i="1"/>
  <c r="K215" i="1"/>
  <c r="L215" i="1"/>
  <c r="M215" i="1"/>
  <c r="B216" i="1"/>
  <c r="C216" i="1"/>
  <c r="D216" i="1"/>
  <c r="E216" i="1"/>
  <c r="F216" i="1"/>
  <c r="G216" i="1"/>
  <c r="H216" i="1"/>
  <c r="I216" i="1"/>
  <c r="J216" i="1"/>
  <c r="K216" i="1"/>
  <c r="L216" i="1"/>
  <c r="M216" i="1"/>
  <c r="B221" i="1"/>
  <c r="C221" i="1"/>
  <c r="D221" i="1"/>
  <c r="E221" i="1"/>
  <c r="F221" i="1"/>
  <c r="G221" i="1"/>
  <c r="H221" i="1"/>
  <c r="I221" i="1"/>
  <c r="J221" i="1"/>
  <c r="K221" i="1"/>
  <c r="L221" i="1"/>
  <c r="M221" i="1"/>
  <c r="B222" i="1"/>
  <c r="C222" i="1"/>
  <c r="D222" i="1"/>
  <c r="E222" i="1"/>
  <c r="F222" i="1"/>
  <c r="G222" i="1"/>
  <c r="H222" i="1"/>
  <c r="I222" i="1"/>
  <c r="J222" i="1"/>
  <c r="K222" i="1"/>
  <c r="L222" i="1"/>
  <c r="M222" i="1"/>
  <c r="B223" i="1"/>
  <c r="C223" i="1"/>
  <c r="D223" i="1"/>
  <c r="E223" i="1"/>
  <c r="F223" i="1"/>
  <c r="G223" i="1"/>
  <c r="H223" i="1"/>
  <c r="I223" i="1"/>
  <c r="J223" i="1"/>
  <c r="K223" i="1"/>
  <c r="L223" i="1"/>
  <c r="M223" i="1"/>
  <c r="B224" i="1"/>
  <c r="C224" i="1"/>
  <c r="D224" i="1"/>
  <c r="E224" i="1"/>
  <c r="F224" i="1"/>
  <c r="G224" i="1"/>
  <c r="H224" i="1"/>
  <c r="I224" i="1"/>
  <c r="J224" i="1"/>
  <c r="K224" i="1"/>
  <c r="L224" i="1"/>
  <c r="M224" i="1"/>
  <c r="B225" i="1"/>
  <c r="C225" i="1"/>
  <c r="D225" i="1"/>
  <c r="E225" i="1"/>
  <c r="F225" i="1"/>
  <c r="G225" i="1"/>
  <c r="H225" i="1"/>
  <c r="I225" i="1"/>
  <c r="J225" i="1"/>
  <c r="K225" i="1"/>
  <c r="L225" i="1"/>
  <c r="M225" i="1"/>
  <c r="B226" i="1"/>
  <c r="C226" i="1"/>
  <c r="D226" i="1"/>
  <c r="E226" i="1"/>
  <c r="F226" i="1"/>
  <c r="G226" i="1"/>
  <c r="H226" i="1"/>
  <c r="I226" i="1"/>
  <c r="J226" i="1"/>
  <c r="K226" i="1"/>
  <c r="L226" i="1"/>
  <c r="M226" i="1"/>
  <c r="B227" i="1"/>
  <c r="C227" i="1"/>
  <c r="D227" i="1"/>
  <c r="E227" i="1"/>
  <c r="F227" i="1"/>
  <c r="G227" i="1"/>
  <c r="H227" i="1"/>
  <c r="I227" i="1"/>
  <c r="J227" i="1"/>
  <c r="K227" i="1"/>
  <c r="L227" i="1"/>
  <c r="M227" i="1"/>
  <c r="B228" i="1"/>
  <c r="C228" i="1"/>
  <c r="D228" i="1"/>
  <c r="E228" i="1"/>
  <c r="F228" i="1"/>
  <c r="G228" i="1"/>
  <c r="H228" i="1"/>
  <c r="I228" i="1"/>
  <c r="J228" i="1"/>
  <c r="K228" i="1"/>
  <c r="L228" i="1"/>
  <c r="M228" i="1"/>
  <c r="B229" i="1"/>
  <c r="C229" i="1"/>
  <c r="D229" i="1"/>
  <c r="E229" i="1"/>
  <c r="F229" i="1"/>
  <c r="G229" i="1"/>
  <c r="H229" i="1"/>
  <c r="I229" i="1"/>
  <c r="J229" i="1"/>
  <c r="K229" i="1"/>
  <c r="L229" i="1"/>
  <c r="M229" i="1"/>
  <c r="B230" i="1"/>
  <c r="C230" i="1"/>
  <c r="D230" i="1"/>
  <c r="E230" i="1"/>
  <c r="F230" i="1"/>
  <c r="G230" i="1"/>
  <c r="H230" i="1"/>
  <c r="I230" i="1"/>
  <c r="J230" i="1"/>
  <c r="K230" i="1"/>
  <c r="L230" i="1"/>
  <c r="M230" i="1"/>
  <c r="B404" i="1"/>
  <c r="C404" i="1"/>
  <c r="D404" i="1"/>
  <c r="E404" i="1"/>
  <c r="F404" i="1"/>
  <c r="G404" i="1"/>
  <c r="H404" i="1"/>
  <c r="I404" i="1"/>
  <c r="J404" i="1"/>
  <c r="K404" i="1"/>
  <c r="L404" i="1"/>
  <c r="M404" i="1"/>
  <c r="B405" i="1"/>
  <c r="C405" i="1"/>
  <c r="D405" i="1"/>
  <c r="E405" i="1"/>
  <c r="F405" i="1"/>
  <c r="G405" i="1"/>
  <c r="H405" i="1"/>
  <c r="I405" i="1"/>
  <c r="J405" i="1"/>
  <c r="K405" i="1"/>
  <c r="L405" i="1"/>
  <c r="M405" i="1"/>
  <c r="B406" i="1"/>
  <c r="C406" i="1"/>
  <c r="D406" i="1"/>
  <c r="E406" i="1"/>
  <c r="F406" i="1"/>
  <c r="G406" i="1"/>
  <c r="H406" i="1"/>
  <c r="I406" i="1"/>
  <c r="J406" i="1"/>
  <c r="K406" i="1"/>
  <c r="L406" i="1"/>
  <c r="M406" i="1"/>
  <c r="B408" i="1"/>
  <c r="C408" i="1"/>
  <c r="D408" i="1"/>
  <c r="E408" i="1"/>
  <c r="F408" i="1"/>
  <c r="G408" i="1"/>
  <c r="H408" i="1"/>
  <c r="I408" i="1"/>
  <c r="J408" i="1"/>
  <c r="K408" i="1"/>
  <c r="L408" i="1"/>
  <c r="M408" i="1"/>
  <c r="B409" i="1"/>
  <c r="C409" i="1"/>
  <c r="D409" i="1"/>
  <c r="E409" i="1"/>
  <c r="F409" i="1"/>
  <c r="G409" i="1"/>
  <c r="H409" i="1"/>
  <c r="I409" i="1"/>
  <c r="J409" i="1"/>
  <c r="K409" i="1"/>
  <c r="L409" i="1"/>
  <c r="M409" i="1"/>
  <c r="B410" i="1"/>
  <c r="C410" i="1"/>
  <c r="D410" i="1"/>
  <c r="E410" i="1"/>
  <c r="F410" i="1"/>
  <c r="G410" i="1"/>
  <c r="H410" i="1"/>
  <c r="I410" i="1"/>
  <c r="J410" i="1"/>
  <c r="K410" i="1"/>
  <c r="L410" i="1"/>
  <c r="M410" i="1"/>
  <c r="B413" i="1"/>
  <c r="C413" i="1"/>
  <c r="D413" i="1"/>
  <c r="E413" i="1"/>
  <c r="F413" i="1"/>
  <c r="G413" i="1"/>
  <c r="H413" i="1"/>
  <c r="I413" i="1"/>
  <c r="J413" i="1"/>
  <c r="K413" i="1"/>
  <c r="L413" i="1"/>
  <c r="M413" i="1"/>
  <c r="B417" i="1"/>
  <c r="C417" i="1"/>
  <c r="D417" i="1"/>
  <c r="E417" i="1"/>
  <c r="F417" i="1"/>
  <c r="G417" i="1"/>
  <c r="H417" i="1"/>
  <c r="I417" i="1"/>
  <c r="J417" i="1"/>
  <c r="K417" i="1"/>
  <c r="L417" i="1"/>
  <c r="M417" i="1"/>
  <c r="B421" i="1"/>
  <c r="C421" i="1"/>
  <c r="D421" i="1"/>
  <c r="E421" i="1"/>
  <c r="F421" i="1"/>
  <c r="G421" i="1"/>
  <c r="H421" i="1"/>
  <c r="I421" i="1"/>
  <c r="J421" i="1"/>
  <c r="K421" i="1"/>
  <c r="L421" i="1"/>
  <c r="M421" i="1"/>
  <c r="B423" i="1"/>
  <c r="C423" i="1"/>
  <c r="D423" i="1"/>
  <c r="E423" i="1"/>
  <c r="F423" i="1"/>
  <c r="G423" i="1"/>
  <c r="H423" i="1"/>
  <c r="I423" i="1"/>
  <c r="J423" i="1"/>
  <c r="K423" i="1"/>
  <c r="L423" i="1"/>
  <c r="M423" i="1"/>
  <c r="B425" i="1"/>
  <c r="C425" i="1"/>
  <c r="D425" i="1"/>
  <c r="E425" i="1"/>
  <c r="F425" i="1"/>
  <c r="G425" i="1"/>
  <c r="H425" i="1"/>
  <c r="I425" i="1"/>
  <c r="J425" i="1"/>
  <c r="K425" i="1"/>
  <c r="L425" i="1"/>
  <c r="M425" i="1"/>
  <c r="B568" i="1"/>
  <c r="C568" i="1"/>
  <c r="D568" i="1"/>
  <c r="E568" i="1"/>
  <c r="F568" i="1"/>
  <c r="G568" i="1"/>
  <c r="H568" i="1"/>
  <c r="I568" i="1"/>
  <c r="J568" i="1"/>
  <c r="K568" i="1"/>
  <c r="L568" i="1"/>
  <c r="M568" i="1"/>
  <c r="B570" i="1"/>
  <c r="C570" i="1"/>
  <c r="D570" i="1"/>
  <c r="E570" i="1"/>
  <c r="F570" i="1"/>
  <c r="G570" i="1"/>
  <c r="H570" i="1"/>
  <c r="I570" i="1"/>
  <c r="J570" i="1"/>
  <c r="K570" i="1"/>
  <c r="L570" i="1"/>
  <c r="M570" i="1"/>
  <c r="B574" i="1"/>
  <c r="C574" i="1"/>
  <c r="D574" i="1"/>
  <c r="E574" i="1"/>
  <c r="F574" i="1"/>
  <c r="G574" i="1"/>
  <c r="H574" i="1"/>
  <c r="I574" i="1"/>
  <c r="J574" i="1"/>
  <c r="K574" i="1"/>
  <c r="L574" i="1"/>
  <c r="M574" i="1"/>
  <c r="B575" i="1"/>
  <c r="C575" i="1"/>
  <c r="D575" i="1"/>
  <c r="E575" i="1"/>
  <c r="F575" i="1"/>
  <c r="G575" i="1"/>
  <c r="H575" i="1"/>
  <c r="I575" i="1"/>
  <c r="J575" i="1"/>
  <c r="K575" i="1"/>
  <c r="L575" i="1"/>
  <c r="M575" i="1"/>
  <c r="B579" i="1"/>
  <c r="C579" i="1"/>
  <c r="D579" i="1"/>
  <c r="E579" i="1"/>
  <c r="F579" i="1"/>
  <c r="G579" i="1"/>
  <c r="H579" i="1"/>
  <c r="I579" i="1"/>
  <c r="J579" i="1"/>
  <c r="K579" i="1"/>
  <c r="L579" i="1"/>
  <c r="M579" i="1"/>
  <c r="B580" i="1"/>
  <c r="C580" i="1"/>
  <c r="D580" i="1"/>
  <c r="E580" i="1"/>
  <c r="F580" i="1"/>
  <c r="G580" i="1"/>
  <c r="H580" i="1"/>
  <c r="I580" i="1"/>
  <c r="J580" i="1"/>
  <c r="K580" i="1"/>
  <c r="L580" i="1"/>
  <c r="M580" i="1"/>
  <c r="B613" i="1"/>
  <c r="C613" i="1"/>
  <c r="D613" i="1"/>
  <c r="E613" i="1"/>
  <c r="F613" i="1"/>
  <c r="G613" i="1"/>
  <c r="H613" i="1"/>
  <c r="I613" i="1"/>
  <c r="J613" i="1"/>
  <c r="K613" i="1"/>
  <c r="L613" i="1"/>
  <c r="M613" i="1"/>
  <c r="B614" i="1"/>
  <c r="C614" i="1"/>
  <c r="D614" i="1"/>
  <c r="E614" i="1"/>
  <c r="F614" i="1"/>
  <c r="G614" i="1"/>
  <c r="H614" i="1"/>
  <c r="I614" i="1"/>
  <c r="J614" i="1"/>
  <c r="K614" i="1"/>
  <c r="L614" i="1"/>
  <c r="M614" i="1"/>
  <c r="B616" i="1"/>
  <c r="C616" i="1"/>
  <c r="D616" i="1"/>
  <c r="E616" i="1"/>
  <c r="F616" i="1"/>
  <c r="G616" i="1"/>
  <c r="H616" i="1"/>
  <c r="I616" i="1"/>
  <c r="J616" i="1"/>
  <c r="K616" i="1"/>
  <c r="L616" i="1"/>
  <c r="M616" i="1"/>
  <c r="B617" i="1"/>
  <c r="C617" i="1"/>
  <c r="D617" i="1"/>
  <c r="E617" i="1"/>
  <c r="F617" i="1"/>
  <c r="G617" i="1"/>
  <c r="H617" i="1"/>
  <c r="I617" i="1"/>
  <c r="J617" i="1"/>
  <c r="K617" i="1"/>
  <c r="L617" i="1"/>
  <c r="M617" i="1"/>
  <c r="B620" i="1"/>
  <c r="C620" i="1"/>
  <c r="D620" i="1"/>
  <c r="E620" i="1"/>
  <c r="F620" i="1"/>
  <c r="G620" i="1"/>
  <c r="H620" i="1"/>
  <c r="I620" i="1"/>
  <c r="J620" i="1"/>
  <c r="K620" i="1"/>
  <c r="L620" i="1"/>
  <c r="M620" i="1"/>
  <c r="B759" i="1"/>
  <c r="C759" i="1"/>
  <c r="D759" i="1"/>
  <c r="E759" i="1"/>
  <c r="F759" i="1"/>
  <c r="G759" i="1"/>
  <c r="H759" i="1"/>
  <c r="I759" i="1"/>
  <c r="J759" i="1"/>
  <c r="K759" i="1"/>
  <c r="L759" i="1"/>
  <c r="M759" i="1"/>
  <c r="B808" i="1"/>
  <c r="C808" i="1"/>
  <c r="D808" i="1"/>
  <c r="E808" i="1"/>
  <c r="F808" i="1"/>
  <c r="G808" i="1"/>
  <c r="H808" i="1"/>
  <c r="I808" i="1"/>
  <c r="J808" i="1"/>
  <c r="K808" i="1"/>
  <c r="L808" i="1"/>
  <c r="M808" i="1"/>
</calcChain>
</file>

<file path=xl/comments1.xml><?xml version="1.0" encoding="utf-8"?>
<comments xmlns="http://schemas.openxmlformats.org/spreadsheetml/2006/main">
  <authors>
    <author>Author</author>
  </authors>
  <commentList>
    <comment ref="E1" authorId="0" shapeId="0">
      <text>
        <r>
          <rPr>
            <b/>
            <sz val="9"/>
            <color indexed="81"/>
            <rFont val="Tahoma"/>
            <family val="2"/>
          </rPr>
          <t>Author:</t>
        </r>
        <r>
          <rPr>
            <sz val="9"/>
            <color indexed="81"/>
            <rFont val="Tahoma"/>
            <family val="2"/>
          </rPr>
          <t xml:space="preserve">
 If you want to update the spreads listed below, please visit http://www.bondsonline.com</t>
        </r>
      </text>
    </comment>
  </commentList>
</comments>
</file>

<file path=xl/comments2.xml><?xml version="1.0" encoding="utf-8"?>
<comments xmlns="http://schemas.openxmlformats.org/spreadsheetml/2006/main">
  <authors>
    <author>Author</author>
  </authors>
  <commentList>
    <comment ref="A1" authorId="0" shapeId="0">
      <text>
        <r>
          <rPr>
            <b/>
            <sz val="9"/>
            <color indexed="81"/>
            <rFont val="Tahoma"/>
            <family val="2"/>
          </rPr>
          <t>Rafael Nicolas Fermin Cota</t>
        </r>
        <r>
          <rPr>
            <sz val="9"/>
            <color indexed="81"/>
            <rFont val="Tahoma"/>
            <charset val="1"/>
          </rPr>
          <t xml:space="preserve">
Suggested readings: http://aswathdamodaran.blogspot.ca/2015/02/discounted-cashflow-valuations-dcf.html</t>
        </r>
      </text>
    </comment>
    <comment ref="A5" authorId="0" shapeId="0">
      <text>
        <r>
          <rPr>
            <b/>
            <sz val="9"/>
            <color indexed="81"/>
            <rFont val="Tahoma"/>
            <family val="2"/>
          </rPr>
          <t>Author:</t>
        </r>
        <r>
          <rPr>
            <sz val="9"/>
            <color indexed="81"/>
            <rFont val="Tahoma"/>
            <family val="2"/>
          </rPr>
          <t xml:space="preserve">
If you are in multiple businesses, you can construct your own weighted averages using the industry average table from this spreadsheet and your company's business breakdown.</t>
        </r>
      </text>
    </comment>
    <comment ref="A7" authorId="0" shapeId="0">
      <text>
        <r>
          <rPr>
            <b/>
            <sz val="9"/>
            <color indexed="81"/>
            <rFont val="Tahoma"/>
            <family val="2"/>
          </rPr>
          <t>Author:</t>
        </r>
        <r>
          <rPr>
            <sz val="9"/>
            <color indexed="81"/>
            <rFont val="Tahoma"/>
            <family val="2"/>
          </rPr>
          <t xml:space="preserve">
If you are using trailing 12-month data, it is best if the last year is the 12-month period just prior to the one that you are using. Thus, if you are looking at June 2011-June 2012, your trailing 12 month for the income statement numbers will be June 2010-June 2011 and your balance sheet numbers should be as of June 2011.</t>
        </r>
      </text>
    </comment>
    <comment ref="A11" authorId="0" shapeId="0">
      <text>
        <r>
          <rPr>
            <b/>
            <sz val="9"/>
            <color indexed="81"/>
            <rFont val="Tahoma"/>
            <family val="2"/>
          </rPr>
          <t>Author:</t>
        </r>
        <r>
          <rPr>
            <sz val="9"/>
            <color indexed="81"/>
            <rFont val="Tahoma"/>
            <family val="2"/>
          </rPr>
          <t xml:space="preserve">
*** If calculated value is negative or looks too low
- Revenue growth rate: Increase revenue growth rate
- Last period EBIT as % of revenue: Increase the target pre-tax operating margin
- Sales to Capital Ratio or reinvestment: Decrease the sales/capital ratio
- Return on capital in perpetuity: Increase relative to your cost of capital
*** If calculated value looks too high
- Revenue growth rate: Decrease revenue growth rate
- Last period EBIT as % of revenue: Decrease the target pre-tax operating margin
- Sales to Capital Ratio or reinvestment: Increase the sales/capital ratio
- Return on capital in perpetuity: If higher than your cost of capital, lower towards your cost of capital</t>
        </r>
      </text>
    </comment>
    <comment ref="A13" authorId="0" shapeId="0">
      <text>
        <r>
          <rPr>
            <b/>
            <sz val="9"/>
            <color indexed="81"/>
            <rFont val="Tahoma"/>
            <family val="2"/>
          </rPr>
          <t>Author:</t>
        </r>
        <r>
          <rPr>
            <sz val="9"/>
            <color indexed="81"/>
            <rFont val="Tahoma"/>
            <family val="2"/>
          </rPr>
          <t xml:space="preserve">
Enter the most recent stock price (how about today's?) in here. </t>
        </r>
      </text>
    </comment>
    <comment ref="A14" authorId="0" shapeId="0">
      <text>
        <r>
          <rPr>
            <b/>
            <sz val="9"/>
            <color indexed="81"/>
            <rFont val="Tahoma"/>
            <family val="2"/>
          </rPr>
          <t>Author:</t>
        </r>
        <r>
          <rPr>
            <sz val="9"/>
            <color indexed="81"/>
            <rFont val="Tahoma"/>
            <family val="2"/>
          </rPr>
          <t xml:space="preserve">
Enter the most recent update you have on the number of shares. If you have different classes of shares, aggregate them all and enter one number. Count restricted stock units (RSUs) as shares but don't count shares underlying employee options.</t>
        </r>
      </text>
    </comment>
    <comment ref="A17" authorId="0" shapeId="0">
      <text>
        <r>
          <rPr>
            <b/>
            <sz val="9"/>
            <color indexed="81"/>
            <rFont val="Tahoma"/>
            <family val="2"/>
          </rPr>
          <t>Author:</t>
        </r>
        <r>
          <rPr>
            <sz val="9"/>
            <color indexed="81"/>
            <rFont val="Tahoma"/>
            <family val="2"/>
          </rPr>
          <t xml:space="preserve">
If you pick operating regions or countries, please input the revenues by country or region in the table to the right.</t>
        </r>
      </text>
    </comment>
    <comment ref="A35" authorId="0" shapeId="0">
      <text>
        <r>
          <rPr>
            <b/>
            <sz val="9"/>
            <color indexed="81"/>
            <rFont val="Tahoma"/>
            <family val="2"/>
          </rPr>
          <t>Author:</t>
        </r>
        <r>
          <rPr>
            <sz val="9"/>
            <color indexed="81"/>
            <rFont val="Tahoma"/>
            <family val="2"/>
          </rPr>
          <t xml:space="preserve">
include debt value of leases and pension liabilities</t>
        </r>
      </text>
    </comment>
    <comment ref="A36" authorId="0" shapeId="0">
      <text>
        <r>
          <rPr>
            <b/>
            <sz val="9"/>
            <color indexed="81"/>
            <rFont val="Tahoma"/>
            <family val="2"/>
          </rPr>
          <t>Author:</t>
        </r>
        <r>
          <rPr>
            <sz val="9"/>
            <color indexed="81"/>
            <rFont val="Tahoma"/>
            <family val="2"/>
          </rPr>
          <t xml:space="preserve">
Estimated Value of straight bond portion</t>
        </r>
      </text>
    </comment>
    <comment ref="A48" authorId="0" shapeId="0">
      <text>
        <r>
          <rPr>
            <b/>
            <sz val="9"/>
            <color indexed="81"/>
            <rFont val="Tahoma"/>
            <family val="2"/>
          </rPr>
          <t>Author:</t>
        </r>
        <r>
          <rPr>
            <sz val="9"/>
            <color indexed="81"/>
            <rFont val="Tahoma"/>
            <family val="2"/>
          </rPr>
          <t xml:space="preserve">
One time Effect</t>
        </r>
      </text>
    </comment>
    <comment ref="A51" authorId="0" shapeId="0">
      <text>
        <r>
          <rPr>
            <b/>
            <sz val="9"/>
            <color indexed="81"/>
            <rFont val="Tahoma"/>
            <family val="2"/>
          </rPr>
          <t>Author:</t>
        </r>
        <r>
          <rPr>
            <sz val="9"/>
            <color indexed="81"/>
            <rFont val="Tahoma"/>
            <family val="2"/>
          </rPr>
          <t xml:space="preserve">
Legal Jeopardy</t>
        </r>
      </text>
    </comment>
    <comment ref="A55" authorId="0" shapeId="0">
      <text>
        <r>
          <rPr>
            <b/>
            <sz val="9"/>
            <color indexed="81"/>
            <rFont val="Tahoma"/>
            <family val="2"/>
          </rPr>
          <t>Author:</t>
        </r>
        <r>
          <rPr>
            <sz val="9"/>
            <color indexed="81"/>
            <rFont val="Tahoma"/>
            <family val="2"/>
          </rPr>
          <t xml:space="preserve">
Revenue Effect</t>
        </r>
      </text>
    </comment>
    <comment ref="A56" authorId="0" shapeId="0">
      <text>
        <r>
          <rPr>
            <b/>
            <sz val="9"/>
            <color indexed="81"/>
            <rFont val="Tahoma"/>
            <family val="2"/>
          </rPr>
          <t>NICO:</t>
        </r>
        <r>
          <rPr>
            <sz val="9"/>
            <color indexed="81"/>
            <rFont val="Tahoma"/>
            <family val="2"/>
          </rPr>
          <t xml:space="preserve">
Lost Operating Income</t>
        </r>
      </text>
    </comment>
    <comment ref="A63" authorId="0" shapeId="0">
      <text>
        <r>
          <rPr>
            <b/>
            <sz val="9"/>
            <color indexed="81"/>
            <rFont val="Tahoma"/>
            <family val="2"/>
          </rPr>
          <t>Author:</t>
        </r>
        <r>
          <rPr>
            <sz val="9"/>
            <color indexed="81"/>
            <rFont val="Tahoma"/>
            <family val="2"/>
          </rPr>
          <t xml:space="preserve">
Companies at either end of the life cycle - young, growth and old, declining firms have a significant likelihood of failure. While we tend to ignore this in conventional DCF, it is worth thinking about whether you want to estimate a probability of failure. It is not easy to do but it can be done by looking at either history (with young, growth companies) or the debt market (with distressed companies).
Many young, growth companies fail, especially if they have trouble raising cash. Many distressed companies fail, because they have trouble making debt payments.</t>
        </r>
      </text>
    </comment>
    <comment ref="A65" authorId="0" shapeId="0">
      <text>
        <r>
          <rPr>
            <sz val="9"/>
            <color indexed="81"/>
            <rFont val="Tahoma"/>
            <family val="2"/>
          </rPr>
          <t xml:space="preserve">
Companies at either end of the life cycle - young, growth and old, declining firms have a significant likelihood of failure. While we tend to ignore this in conventional DCF, it is worth thinking about whether you want to estimate a probability of failure. It is not easy to do but it can be done by looking at either history (with young, growth companies) or the debt market (with distressed companies).
If you want to look at ways of estimating this probability, try these papers I have on the topic:
For young growth companies: http://papers.ssrn.com/sol3/papers.cfm?abstract_id=1418687  
For declining, distressed companies: http://papers.ssrn.com/sol3/papers.cfm?abstract_id=1428022 </t>
        </r>
      </text>
    </comment>
    <comment ref="A67" authorId="0" shapeId="0">
      <text>
        <r>
          <rPr>
            <sz val="9"/>
            <color indexed="81"/>
            <rFont val="Tahoma"/>
            <family val="2"/>
          </rPr>
          <t xml:space="preserve">
You will generally not get 100% of fair value. How much less than 100% you get will depend on whether there are lots of potential buyers for your assets and how much of a hurry you are in to liquidate. It may well be zero for a young growth company with no tangible assets.</t>
        </r>
      </text>
    </comment>
    <comment ref="A68" authorId="0" shapeId="0">
      <text>
        <r>
          <rPr>
            <sz val="9"/>
            <color indexed="81"/>
            <rFont val="Tahoma"/>
            <family val="2"/>
          </rPr>
          <t>You will generally not get 100% of fair value. How much less than 100% you get will depend on whether there are lots of potential buyers for your assets and how much of a hurry you are in to liquidate. It may well be zero for a young growth company with no tangible assets.
This can be zero, if the assets will be worth nothing if the firm fails.</t>
        </r>
      </text>
    </comment>
    <comment ref="A71" authorId="0" shapeId="0">
      <text>
        <r>
          <rPr>
            <sz val="9"/>
            <color indexed="81"/>
            <rFont val="Tahoma"/>
            <family val="2"/>
          </rPr>
          <t>What do you want to tie your proceeds in failure to?
If the firm fail and has to liquidate its assets, you need to specify what the liquidation proceeds will be tied to. For young growth companies, it would tie it to value and with distressed firms (especially ones with significant assets in place), we would use book value.
Proceeds if firm fails:
* Book value of capital
1: Book Value of Capital
2: Invested Capital
3: Enterprise Value
4: Fair value of Operating Assets</t>
        </r>
      </text>
    </comment>
    <comment ref="A79" authorId="0" shapeId="0">
      <text>
        <r>
          <rPr>
            <sz val="9"/>
            <color indexed="81"/>
            <rFont val="Tahoma"/>
            <family val="2"/>
          </rPr>
          <t>Percentage of the proceeds that be withdrawn by owners. Assume that the proceeds of the IPO will be retained by the company (for use in future investments).</t>
        </r>
      </text>
    </comment>
    <comment ref="A80" authorId="0" shapeId="0">
      <text>
        <r>
          <rPr>
            <b/>
            <sz val="9"/>
            <color indexed="81"/>
            <rFont val="Geneva"/>
          </rPr>
          <t>Author:</t>
        </r>
        <r>
          <rPr>
            <sz val="9"/>
            <color indexed="81"/>
            <rFont val="Geneva"/>
          </rPr>
          <t xml:space="preserve">
Number of shares that will be sold on offering date. Most likely, not decided by company &amp; bankers yet. Update when offering details set. News reports could provide hints on what the company would like to raise (e.g., $1 billion) from offering.
</t>
        </r>
      </text>
    </comment>
    <comment ref="A86" authorId="0" shapeId="0">
      <text>
        <r>
          <rPr>
            <b/>
            <sz val="9"/>
            <color indexed="81"/>
            <rFont val="Tahoma"/>
            <family val="2"/>
          </rPr>
          <t>Author:</t>
        </r>
        <r>
          <rPr>
            <sz val="9"/>
            <color indexed="81"/>
            <rFont val="Tahoma"/>
            <family val="2"/>
          </rPr>
          <t xml:space="preserve">
If equal to zero then I assume that none of the cash is trapped (in foreign countries) and that there is no additional tax liability coming due</t>
        </r>
      </text>
    </comment>
    <comment ref="A87" authorId="0" shapeId="0">
      <text>
        <r>
          <rPr>
            <b/>
            <sz val="9"/>
            <color indexed="81"/>
            <rFont val="Tahoma"/>
            <family val="2"/>
          </rPr>
          <t>Author:</t>
        </r>
        <r>
          <rPr>
            <sz val="9"/>
            <color indexed="81"/>
            <rFont val="Tahoma"/>
            <family val="2"/>
          </rPr>
          <t xml:space="preserve">
where the cash is trapped</t>
        </r>
      </text>
    </comment>
    <comment ref="A103" authorId="0" shapeId="0">
      <text>
        <r>
          <rPr>
            <b/>
            <sz val="9"/>
            <color indexed="81"/>
            <rFont val="Tahoma"/>
            <family val="2"/>
          </rPr>
          <t>Author:</t>
        </r>
        <r>
          <rPr>
            <sz val="9"/>
            <color indexed="81"/>
            <rFont val="Tahoma"/>
            <family val="2"/>
          </rPr>
          <t xml:space="preserve">
to tax rate, reinvestment rate and growth rate</t>
        </r>
      </text>
    </comment>
    <comment ref="A104" authorId="0" shapeId="0">
      <text>
        <r>
          <rPr>
            <b/>
            <sz val="9"/>
            <color indexed="81"/>
            <rFont val="Tahoma"/>
            <family val="2"/>
          </rPr>
          <t>Author:</t>
        </r>
        <r>
          <rPr>
            <sz val="9"/>
            <color indexed="81"/>
            <rFont val="Tahoma"/>
            <family val="2"/>
          </rPr>
          <t xml:space="preserve">
If the return on capital cost of capital,</t>
        </r>
      </text>
    </comment>
    <comment ref="A105" authorId="0" shapeId="0">
      <text>
        <r>
          <rPr>
            <b/>
            <sz val="9"/>
            <color indexed="81"/>
            <rFont val="Tahoma"/>
            <family val="2"/>
          </rPr>
          <t>Author:</t>
        </r>
        <r>
          <rPr>
            <sz val="9"/>
            <color indexed="81"/>
            <rFont val="Tahoma"/>
            <family val="2"/>
          </rPr>
          <t xml:space="preserve">
A default assumption in DCF valuation is that the company grows at the risk free rate, has a cost of capital Riskfree rate +4.5%, pays the marginal tax rate on earnings, and earns a ROC Cost of capital). I am not suggesting that you need to adopt all of these defaults, but if you do, your terminal value will look as follows.</t>
        </r>
      </text>
    </comment>
    <comment ref="A107" authorId="0" shapeId="0">
      <text>
        <r>
          <rPr>
            <b/>
            <sz val="9"/>
            <color indexed="81"/>
            <rFont val="Tahoma"/>
            <family val="2"/>
          </rPr>
          <t>Author:</t>
        </r>
        <r>
          <rPr>
            <sz val="9"/>
            <color indexed="81"/>
            <rFont val="Tahoma"/>
            <family val="2"/>
          </rPr>
          <t xml:space="preserve">
Potential problems</t>
        </r>
      </text>
    </comment>
    <comment ref="A115" authorId="0" shapeId="0">
      <text>
        <r>
          <rPr>
            <b/>
            <sz val="9"/>
            <color indexed="81"/>
            <rFont val="Tahoma"/>
            <family val="2"/>
          </rPr>
          <t>Author:</t>
        </r>
        <r>
          <rPr>
            <sz val="9"/>
            <color indexed="81"/>
            <rFont val="Tahoma"/>
            <family val="2"/>
          </rPr>
          <t xml:space="preserve">
Terminal value numbers</t>
        </r>
      </text>
    </comment>
    <comment ref="A118" authorId="0" shapeId="0">
      <text>
        <r>
          <rPr>
            <b/>
            <sz val="9"/>
            <color indexed="81"/>
            <rFont val="Tahoma"/>
            <family val="2"/>
          </rPr>
          <t>Author:</t>
        </r>
        <r>
          <rPr>
            <sz val="9"/>
            <color indexed="81"/>
            <rFont val="Tahoma"/>
            <family val="2"/>
          </rPr>
          <t xml:space="preserve">
This is what is being used in the numerator of your terminal value</t>
        </r>
      </text>
    </comment>
    <comment ref="A122" authorId="0" shapeId="0">
      <text>
        <r>
          <rPr>
            <b/>
            <sz val="9"/>
            <color indexed="81"/>
            <rFont val="Tahoma"/>
            <family val="2"/>
          </rPr>
          <t>Author:</t>
        </r>
        <r>
          <rPr>
            <sz val="9"/>
            <color indexed="81"/>
            <rFont val="Tahoma"/>
            <family val="2"/>
          </rPr>
          <t xml:space="preserve">
Starting numbers</t>
        </r>
      </text>
    </comment>
    <comment ref="A128" authorId="0" shapeId="0">
      <text>
        <r>
          <rPr>
            <b/>
            <sz val="9"/>
            <color indexed="81"/>
            <rFont val="Tahoma"/>
            <family val="2"/>
          </rPr>
          <t>Author:</t>
        </r>
        <r>
          <rPr>
            <sz val="9"/>
            <color indexed="81"/>
            <rFont val="Tahoma"/>
            <family val="2"/>
          </rPr>
          <t xml:space="preserve">
*** If calculated value is negative or looks too low
- Revenue growth rate: Increase revenue growth rate
- Last period EBIT as % of revenue: Increase the target pre-tax operating margin
- Sales to Capital Ratio or reinvestment: Decrease the sales/capital ratio
- Return on capital in perpetuity: Increase relative to your cost of capital
*** If calculated value looks too high
- Revenue growth rate: Decrease revenue growth rate
- Last period EBIT as % of revenue: Decrease the target pre-tax operating margin
- Sales to Capital Ratio or reinvestment: Increase the sales/capital ratio
- Return on capital in perpetuity: If higher than your cost of capital, lower towards your cost of capital</t>
        </r>
      </text>
    </comment>
    <comment ref="A131" authorId="0" shapeId="0">
      <text>
        <r>
          <rPr>
            <b/>
            <sz val="9"/>
            <color indexed="81"/>
            <rFont val="Tahoma"/>
            <family val="2"/>
          </rPr>
          <t>Author:</t>
        </r>
        <r>
          <rPr>
            <sz val="9"/>
            <color indexed="81"/>
            <rFont val="Tahoma"/>
            <family val="2"/>
          </rPr>
          <t xml:space="preserve">
Compare this return on capital in year 10 against
a.  the industry average
b. the return on capital after year 10
If it is too high (low), you may want to lower  (raise) your sales to capital ratio
</t>
        </r>
      </text>
    </comment>
    <comment ref="A140" authorId="0" shapeId="0">
      <text>
        <r>
          <rPr>
            <b/>
            <sz val="9"/>
            <color indexed="81"/>
            <rFont val="Tahoma"/>
            <family val="2"/>
          </rPr>
          <t>Author:</t>
        </r>
        <r>
          <rPr>
            <sz val="9"/>
            <color indexed="81"/>
            <rFont val="Tahoma"/>
            <family val="2"/>
          </rPr>
          <t xml:space="preserve">
This is is how much your operating income grew over the ten-year period.
</t>
        </r>
      </text>
    </comment>
    <comment ref="A156" authorId="0" shapeId="0">
      <text>
        <r>
          <rPr>
            <b/>
            <sz val="9"/>
            <color indexed="81"/>
            <rFont val="Tahoma"/>
            <family val="2"/>
          </rPr>
          <t>Author:</t>
        </r>
        <r>
          <rPr>
            <sz val="9"/>
            <color indexed="81"/>
            <rFont val="Tahoma"/>
            <family val="2"/>
          </rPr>
          <t xml:space="preserve">
Check these revenues against
a. Overall market size
b. Largest companies in this market
</t>
        </r>
      </text>
    </comment>
    <comment ref="A161" authorId="0" shapeId="0">
      <text>
        <r>
          <rPr>
            <b/>
            <sz val="9"/>
            <color indexed="81"/>
            <rFont val="Tahoma"/>
            <family val="2"/>
          </rPr>
          <t>Author:</t>
        </r>
        <r>
          <rPr>
            <sz val="9"/>
            <color indexed="81"/>
            <rFont val="Tahoma"/>
            <family val="2"/>
          </rPr>
          <t xml:space="preserve">
Length of the period that you will be able to maintain high growth before becoming stable growth firm.</t>
        </r>
      </text>
    </comment>
    <comment ref="A387" authorId="0" shapeId="0">
      <text>
        <r>
          <rPr>
            <b/>
            <sz val="9"/>
            <color indexed="81"/>
            <rFont val="Tahoma"/>
            <family val="2"/>
          </rPr>
          <t>Author:</t>
        </r>
        <r>
          <rPr>
            <sz val="9"/>
            <color indexed="81"/>
            <rFont val="Tahoma"/>
            <family val="2"/>
          </rPr>
          <t xml:space="preserve">
Check these revenues against
a. Overall market size
b. Largest companies in this market
</t>
        </r>
      </text>
    </comment>
    <comment ref="A410" authorId="0" shapeId="0">
      <text>
        <r>
          <rPr>
            <b/>
            <sz val="9"/>
            <color indexed="81"/>
            <rFont val="Geneva"/>
          </rPr>
          <t>Author:</t>
        </r>
        <r>
          <rPr>
            <sz val="9"/>
            <color indexed="81"/>
            <rFont val="Geneva"/>
          </rPr>
          <t xml:space="preserve">
Market Value of all equity = Market Capitalization + Value of employee options + Value of Conversion options</t>
        </r>
      </text>
    </comment>
    <comment ref="A426" authorId="0" shapeId="0">
      <text>
        <r>
          <rPr>
            <b/>
            <sz val="9"/>
            <color indexed="81"/>
            <rFont val="Geneva"/>
          </rPr>
          <t>Author:</t>
        </r>
        <r>
          <rPr>
            <sz val="9"/>
            <color indexed="81"/>
            <rFont val="Geneva"/>
          </rPr>
          <t xml:space="preserve">
Use a sector average unlevered beta (adjusted for cash) if need be. If you are in multiple businesses, you can construct your own weighted averages using the industry average table from this spreadsheet and your company's business breakdown.</t>
        </r>
      </text>
    </comment>
    <comment ref="A428" authorId="0" shapeId="0">
      <text>
        <r>
          <rPr>
            <b/>
            <sz val="9"/>
            <color indexed="81"/>
            <rFont val="Geneva"/>
          </rPr>
          <t>Author:</t>
        </r>
        <r>
          <rPr>
            <sz val="9"/>
            <color indexed="81"/>
            <rFont val="Geneva"/>
          </rPr>
          <t xml:space="preserve">
You can use either the historical premium or the implied premium  or an augmented premium for country risk.
If the company has risk exposure in emergiing markets, incorporate that risk premiums here</t>
        </r>
      </text>
    </comment>
    <comment ref="A429" authorId="0" shapeId="0">
      <text>
        <r>
          <rPr>
            <b/>
            <sz val="9"/>
            <color indexed="81"/>
            <rFont val="Geneva"/>
          </rPr>
          <t>Author:</t>
        </r>
        <r>
          <rPr>
            <sz val="9"/>
            <color indexed="81"/>
            <rFont val="Geneva"/>
          </rPr>
          <t xml:space="preserve">
This should be today's long term riskfree rate (today's ten -year government bond rate). If you are working with a currency where the government has default risk, clean up the government bond rate to make it riskfree (by subtracting the default spread for the government)</t>
        </r>
      </text>
    </comment>
    <comment ref="B433" authorId="0" shapeId="0">
      <text>
        <r>
          <rPr>
            <b/>
            <sz val="9"/>
            <color indexed="81"/>
            <rFont val="Tahoma"/>
            <family val="2"/>
          </rPr>
          <t>Author:</t>
        </r>
        <r>
          <rPr>
            <sz val="9"/>
            <color indexed="81"/>
            <rFont val="Tahoma"/>
            <family val="2"/>
          </rPr>
          <t xml:space="preserve">
Computers/Peripherals</t>
        </r>
      </text>
    </comment>
    <comment ref="C433" authorId="0" shapeId="0">
      <text>
        <r>
          <rPr>
            <b/>
            <sz val="9"/>
            <color indexed="81"/>
            <rFont val="Tahoma"/>
            <family val="2"/>
          </rPr>
          <t>Author:</t>
        </r>
        <r>
          <rPr>
            <sz val="9"/>
            <color indexed="81"/>
            <rFont val="Tahoma"/>
            <family val="2"/>
          </rPr>
          <t xml:space="preserve">
Computers/Peripherals</t>
        </r>
      </text>
    </comment>
    <comment ref="D433" authorId="0" shapeId="0">
      <text>
        <r>
          <rPr>
            <b/>
            <sz val="9"/>
            <color indexed="81"/>
            <rFont val="Tahoma"/>
            <family val="2"/>
          </rPr>
          <t>Author:</t>
        </r>
        <r>
          <rPr>
            <sz val="9"/>
            <color indexed="81"/>
            <rFont val="Tahoma"/>
            <family val="2"/>
          </rPr>
          <t xml:space="preserve">
Computers/Peripherals</t>
        </r>
      </text>
    </comment>
    <comment ref="E433" authorId="0" shapeId="0">
      <text>
        <r>
          <rPr>
            <b/>
            <sz val="9"/>
            <color indexed="81"/>
            <rFont val="Tahoma"/>
            <family val="2"/>
          </rPr>
          <t>Author:</t>
        </r>
        <r>
          <rPr>
            <sz val="9"/>
            <color indexed="81"/>
            <rFont val="Tahoma"/>
            <family val="2"/>
          </rPr>
          <t xml:space="preserve">
Computers/Peripherals</t>
        </r>
      </text>
    </comment>
    <comment ref="F433" authorId="0" shapeId="0">
      <text>
        <r>
          <rPr>
            <b/>
            <sz val="9"/>
            <color indexed="81"/>
            <rFont val="Tahoma"/>
            <family val="2"/>
          </rPr>
          <t>Author:</t>
        </r>
        <r>
          <rPr>
            <sz val="9"/>
            <color indexed="81"/>
            <rFont val="Tahoma"/>
            <family val="2"/>
          </rPr>
          <t xml:space="preserve">
Computers/Peripherals</t>
        </r>
      </text>
    </comment>
    <comment ref="G433" authorId="0" shapeId="0">
      <text>
        <r>
          <rPr>
            <b/>
            <sz val="9"/>
            <color indexed="81"/>
            <rFont val="Tahoma"/>
            <family val="2"/>
          </rPr>
          <t>Author:</t>
        </r>
        <r>
          <rPr>
            <sz val="9"/>
            <color indexed="81"/>
            <rFont val="Tahoma"/>
            <family val="2"/>
          </rPr>
          <t xml:space="preserve">
Computers/Peripherals</t>
        </r>
      </text>
    </comment>
    <comment ref="H433" authorId="0" shapeId="0">
      <text>
        <r>
          <rPr>
            <b/>
            <sz val="9"/>
            <color indexed="81"/>
            <rFont val="Tahoma"/>
            <family val="2"/>
          </rPr>
          <t>Author:</t>
        </r>
        <r>
          <rPr>
            <sz val="9"/>
            <color indexed="81"/>
            <rFont val="Tahoma"/>
            <family val="2"/>
          </rPr>
          <t xml:space="preserve">
Computers/Peripherals</t>
        </r>
      </text>
    </comment>
    <comment ref="I433" authorId="0" shapeId="0">
      <text>
        <r>
          <rPr>
            <b/>
            <sz val="9"/>
            <color indexed="81"/>
            <rFont val="Tahoma"/>
            <family val="2"/>
          </rPr>
          <t>Author:</t>
        </r>
        <r>
          <rPr>
            <sz val="9"/>
            <color indexed="81"/>
            <rFont val="Tahoma"/>
            <family val="2"/>
          </rPr>
          <t xml:space="preserve">
Computers/Peripherals</t>
        </r>
      </text>
    </comment>
    <comment ref="J433" authorId="0" shapeId="0">
      <text>
        <r>
          <rPr>
            <b/>
            <sz val="9"/>
            <color indexed="81"/>
            <rFont val="Tahoma"/>
            <family val="2"/>
          </rPr>
          <t>Author:</t>
        </r>
        <r>
          <rPr>
            <sz val="9"/>
            <color indexed="81"/>
            <rFont val="Tahoma"/>
            <family val="2"/>
          </rPr>
          <t xml:space="preserve">
Computers/Peripherals</t>
        </r>
      </text>
    </comment>
    <comment ref="K433" authorId="0" shapeId="0">
      <text>
        <r>
          <rPr>
            <b/>
            <sz val="9"/>
            <color indexed="81"/>
            <rFont val="Tahoma"/>
            <family val="2"/>
          </rPr>
          <t>Author:</t>
        </r>
        <r>
          <rPr>
            <sz val="9"/>
            <color indexed="81"/>
            <rFont val="Tahoma"/>
            <family val="2"/>
          </rPr>
          <t xml:space="preserve">
Computers/Peripherals</t>
        </r>
      </text>
    </comment>
    <comment ref="L433" authorId="0" shapeId="0">
      <text>
        <r>
          <rPr>
            <b/>
            <sz val="9"/>
            <color indexed="81"/>
            <rFont val="Tahoma"/>
            <family val="2"/>
          </rPr>
          <t>Author:</t>
        </r>
        <r>
          <rPr>
            <sz val="9"/>
            <color indexed="81"/>
            <rFont val="Tahoma"/>
            <family val="2"/>
          </rPr>
          <t xml:space="preserve">
Computers/Peripherals</t>
        </r>
      </text>
    </comment>
    <comment ref="M433" authorId="0" shapeId="0">
      <text>
        <r>
          <rPr>
            <b/>
            <sz val="9"/>
            <color indexed="81"/>
            <rFont val="Tahoma"/>
            <family val="2"/>
          </rPr>
          <t>Author:</t>
        </r>
        <r>
          <rPr>
            <sz val="9"/>
            <color indexed="81"/>
            <rFont val="Tahoma"/>
            <family val="2"/>
          </rPr>
          <t xml:space="preserve">
Computers/Peripherals</t>
        </r>
      </text>
    </comment>
    <comment ref="B434" authorId="0" shapeId="0">
      <text>
        <r>
          <rPr>
            <b/>
            <sz val="9"/>
            <color indexed="81"/>
            <rFont val="Tahoma"/>
            <family val="2"/>
          </rPr>
          <t>Author:</t>
        </r>
        <r>
          <rPr>
            <sz val="9"/>
            <color indexed="81"/>
            <rFont val="Tahoma"/>
            <family val="2"/>
          </rPr>
          <t xml:space="preserve">
Electronics (General)</t>
        </r>
      </text>
    </comment>
    <comment ref="C434" authorId="0" shapeId="0">
      <text>
        <r>
          <rPr>
            <b/>
            <sz val="9"/>
            <color indexed="81"/>
            <rFont val="Tahoma"/>
            <family val="2"/>
          </rPr>
          <t>Author:</t>
        </r>
        <r>
          <rPr>
            <sz val="9"/>
            <color indexed="81"/>
            <rFont val="Tahoma"/>
            <family val="2"/>
          </rPr>
          <t xml:space="preserve">
Electronics (General)</t>
        </r>
      </text>
    </comment>
    <comment ref="D434" authorId="0" shapeId="0">
      <text>
        <r>
          <rPr>
            <b/>
            <sz val="9"/>
            <color indexed="81"/>
            <rFont val="Tahoma"/>
            <family val="2"/>
          </rPr>
          <t>Author:</t>
        </r>
        <r>
          <rPr>
            <sz val="9"/>
            <color indexed="81"/>
            <rFont val="Tahoma"/>
            <family val="2"/>
          </rPr>
          <t xml:space="preserve">
Electronics (General)</t>
        </r>
      </text>
    </comment>
    <comment ref="E434" authorId="0" shapeId="0">
      <text>
        <r>
          <rPr>
            <b/>
            <sz val="9"/>
            <color indexed="81"/>
            <rFont val="Tahoma"/>
            <family val="2"/>
          </rPr>
          <t>Author:</t>
        </r>
        <r>
          <rPr>
            <sz val="9"/>
            <color indexed="81"/>
            <rFont val="Tahoma"/>
            <family val="2"/>
          </rPr>
          <t xml:space="preserve">
Electronics (General)</t>
        </r>
      </text>
    </comment>
    <comment ref="F434" authorId="0" shapeId="0">
      <text>
        <r>
          <rPr>
            <b/>
            <sz val="9"/>
            <color indexed="81"/>
            <rFont val="Tahoma"/>
            <family val="2"/>
          </rPr>
          <t>Author:</t>
        </r>
        <r>
          <rPr>
            <sz val="9"/>
            <color indexed="81"/>
            <rFont val="Tahoma"/>
            <family val="2"/>
          </rPr>
          <t xml:space="preserve">
Electronics (General)</t>
        </r>
      </text>
    </comment>
    <comment ref="G434" authorId="0" shapeId="0">
      <text>
        <r>
          <rPr>
            <b/>
            <sz val="9"/>
            <color indexed="81"/>
            <rFont val="Tahoma"/>
            <family val="2"/>
          </rPr>
          <t>Author:</t>
        </r>
        <r>
          <rPr>
            <sz val="9"/>
            <color indexed="81"/>
            <rFont val="Tahoma"/>
            <family val="2"/>
          </rPr>
          <t xml:space="preserve">
Electronics (General)</t>
        </r>
      </text>
    </comment>
    <comment ref="H434" authorId="0" shapeId="0">
      <text>
        <r>
          <rPr>
            <b/>
            <sz val="9"/>
            <color indexed="81"/>
            <rFont val="Tahoma"/>
            <family val="2"/>
          </rPr>
          <t>Author:</t>
        </r>
        <r>
          <rPr>
            <sz val="9"/>
            <color indexed="81"/>
            <rFont val="Tahoma"/>
            <family val="2"/>
          </rPr>
          <t xml:space="preserve">
Electronics (General)</t>
        </r>
      </text>
    </comment>
    <comment ref="I434" authorId="0" shapeId="0">
      <text>
        <r>
          <rPr>
            <b/>
            <sz val="9"/>
            <color indexed="81"/>
            <rFont val="Tahoma"/>
            <family val="2"/>
          </rPr>
          <t>Author:</t>
        </r>
        <r>
          <rPr>
            <sz val="9"/>
            <color indexed="81"/>
            <rFont val="Tahoma"/>
            <family val="2"/>
          </rPr>
          <t xml:space="preserve">
Electronics (General)</t>
        </r>
      </text>
    </comment>
    <comment ref="J434" authorId="0" shapeId="0">
      <text>
        <r>
          <rPr>
            <b/>
            <sz val="9"/>
            <color indexed="81"/>
            <rFont val="Tahoma"/>
            <family val="2"/>
          </rPr>
          <t>Author:</t>
        </r>
        <r>
          <rPr>
            <sz val="9"/>
            <color indexed="81"/>
            <rFont val="Tahoma"/>
            <family val="2"/>
          </rPr>
          <t xml:space="preserve">
Electronics (General)</t>
        </r>
      </text>
    </comment>
    <comment ref="K434" authorId="0" shapeId="0">
      <text>
        <r>
          <rPr>
            <b/>
            <sz val="9"/>
            <color indexed="81"/>
            <rFont val="Tahoma"/>
            <family val="2"/>
          </rPr>
          <t>Author:</t>
        </r>
        <r>
          <rPr>
            <sz val="9"/>
            <color indexed="81"/>
            <rFont val="Tahoma"/>
            <family val="2"/>
          </rPr>
          <t xml:space="preserve">
Electronics (General)</t>
        </r>
      </text>
    </comment>
    <comment ref="L434" authorId="0" shapeId="0">
      <text>
        <r>
          <rPr>
            <b/>
            <sz val="9"/>
            <color indexed="81"/>
            <rFont val="Tahoma"/>
            <family val="2"/>
          </rPr>
          <t>Author:</t>
        </r>
        <r>
          <rPr>
            <sz val="9"/>
            <color indexed="81"/>
            <rFont val="Tahoma"/>
            <family val="2"/>
          </rPr>
          <t xml:space="preserve">
Electronics (General)</t>
        </r>
      </text>
    </comment>
    <comment ref="M434" authorId="0" shapeId="0">
      <text>
        <r>
          <rPr>
            <b/>
            <sz val="9"/>
            <color indexed="81"/>
            <rFont val="Tahoma"/>
            <family val="2"/>
          </rPr>
          <t>Author:</t>
        </r>
        <r>
          <rPr>
            <sz val="9"/>
            <color indexed="81"/>
            <rFont val="Tahoma"/>
            <family val="2"/>
          </rPr>
          <t xml:space="preserve">
Electronics (General)</t>
        </r>
      </text>
    </comment>
    <comment ref="B435" authorId="0" shapeId="0">
      <text>
        <r>
          <rPr>
            <b/>
            <sz val="9"/>
            <color indexed="81"/>
            <rFont val="Tahoma"/>
            <family val="2"/>
          </rPr>
          <t>Author:</t>
        </r>
        <r>
          <rPr>
            <sz val="9"/>
            <color indexed="81"/>
            <rFont val="Tahoma"/>
            <family val="2"/>
          </rPr>
          <t xml:space="preserve">
Retail (Special Lines)</t>
        </r>
      </text>
    </comment>
    <comment ref="C435" authorId="0" shapeId="0">
      <text>
        <r>
          <rPr>
            <b/>
            <sz val="9"/>
            <color indexed="81"/>
            <rFont val="Tahoma"/>
            <family val="2"/>
          </rPr>
          <t>Author:</t>
        </r>
        <r>
          <rPr>
            <sz val="9"/>
            <color indexed="81"/>
            <rFont val="Tahoma"/>
            <family val="2"/>
          </rPr>
          <t xml:space="preserve">
Retail (Special Lines)</t>
        </r>
      </text>
    </comment>
    <comment ref="D435" authorId="0" shapeId="0">
      <text>
        <r>
          <rPr>
            <b/>
            <sz val="9"/>
            <color indexed="81"/>
            <rFont val="Tahoma"/>
            <family val="2"/>
          </rPr>
          <t>Author:</t>
        </r>
        <r>
          <rPr>
            <sz val="9"/>
            <color indexed="81"/>
            <rFont val="Tahoma"/>
            <family val="2"/>
          </rPr>
          <t xml:space="preserve">
Retail (Special Lines)</t>
        </r>
      </text>
    </comment>
    <comment ref="E435" authorId="0" shapeId="0">
      <text>
        <r>
          <rPr>
            <b/>
            <sz val="9"/>
            <color indexed="81"/>
            <rFont val="Tahoma"/>
            <family val="2"/>
          </rPr>
          <t>Author:</t>
        </r>
        <r>
          <rPr>
            <sz val="9"/>
            <color indexed="81"/>
            <rFont val="Tahoma"/>
            <family val="2"/>
          </rPr>
          <t xml:space="preserve">
Retail (Special Lines)</t>
        </r>
      </text>
    </comment>
    <comment ref="F435" authorId="0" shapeId="0">
      <text>
        <r>
          <rPr>
            <b/>
            <sz val="9"/>
            <color indexed="81"/>
            <rFont val="Tahoma"/>
            <family val="2"/>
          </rPr>
          <t>Author:</t>
        </r>
        <r>
          <rPr>
            <sz val="9"/>
            <color indexed="81"/>
            <rFont val="Tahoma"/>
            <family val="2"/>
          </rPr>
          <t xml:space="preserve">
Retail (Special Lines)</t>
        </r>
      </text>
    </comment>
    <comment ref="G435" authorId="0" shapeId="0">
      <text>
        <r>
          <rPr>
            <b/>
            <sz val="9"/>
            <color indexed="81"/>
            <rFont val="Tahoma"/>
            <family val="2"/>
          </rPr>
          <t>Author:</t>
        </r>
        <r>
          <rPr>
            <sz val="9"/>
            <color indexed="81"/>
            <rFont val="Tahoma"/>
            <family val="2"/>
          </rPr>
          <t xml:space="preserve">
Retail (Special Lines)</t>
        </r>
      </text>
    </comment>
    <comment ref="H435" authorId="0" shapeId="0">
      <text>
        <r>
          <rPr>
            <b/>
            <sz val="9"/>
            <color indexed="81"/>
            <rFont val="Tahoma"/>
            <family val="2"/>
          </rPr>
          <t>Author:</t>
        </r>
        <r>
          <rPr>
            <sz val="9"/>
            <color indexed="81"/>
            <rFont val="Tahoma"/>
            <family val="2"/>
          </rPr>
          <t xml:space="preserve">
Retail (Special Lines)</t>
        </r>
      </text>
    </comment>
    <comment ref="I435" authorId="0" shapeId="0">
      <text>
        <r>
          <rPr>
            <b/>
            <sz val="9"/>
            <color indexed="81"/>
            <rFont val="Tahoma"/>
            <family val="2"/>
          </rPr>
          <t>Author:</t>
        </r>
        <r>
          <rPr>
            <sz val="9"/>
            <color indexed="81"/>
            <rFont val="Tahoma"/>
            <family val="2"/>
          </rPr>
          <t xml:space="preserve">
Retail (Special Lines)</t>
        </r>
      </text>
    </comment>
    <comment ref="J435" authorId="0" shapeId="0">
      <text>
        <r>
          <rPr>
            <b/>
            <sz val="9"/>
            <color indexed="81"/>
            <rFont val="Tahoma"/>
            <family val="2"/>
          </rPr>
          <t>Author:</t>
        </r>
        <r>
          <rPr>
            <sz val="9"/>
            <color indexed="81"/>
            <rFont val="Tahoma"/>
            <family val="2"/>
          </rPr>
          <t xml:space="preserve">
Retail (Special Lines)</t>
        </r>
      </text>
    </comment>
    <comment ref="K435" authorId="0" shapeId="0">
      <text>
        <r>
          <rPr>
            <b/>
            <sz val="9"/>
            <color indexed="81"/>
            <rFont val="Tahoma"/>
            <family val="2"/>
          </rPr>
          <t>Author:</t>
        </r>
        <r>
          <rPr>
            <sz val="9"/>
            <color indexed="81"/>
            <rFont val="Tahoma"/>
            <family val="2"/>
          </rPr>
          <t xml:space="preserve">
Retail (Special Lines)</t>
        </r>
      </text>
    </comment>
    <comment ref="L435" authorId="0" shapeId="0">
      <text>
        <r>
          <rPr>
            <b/>
            <sz val="9"/>
            <color indexed="81"/>
            <rFont val="Tahoma"/>
            <family val="2"/>
          </rPr>
          <t>Author:</t>
        </r>
        <r>
          <rPr>
            <sz val="9"/>
            <color indexed="81"/>
            <rFont val="Tahoma"/>
            <family val="2"/>
          </rPr>
          <t xml:space="preserve">
Retail (Special Lines)</t>
        </r>
      </text>
    </comment>
    <comment ref="M435" authorId="0" shapeId="0">
      <text>
        <r>
          <rPr>
            <b/>
            <sz val="9"/>
            <color indexed="81"/>
            <rFont val="Tahoma"/>
            <family val="2"/>
          </rPr>
          <t>Author:</t>
        </r>
        <r>
          <rPr>
            <sz val="9"/>
            <color indexed="81"/>
            <rFont val="Tahoma"/>
            <family val="2"/>
          </rPr>
          <t xml:space="preserve">
Retail (Special Lines)</t>
        </r>
      </text>
    </comment>
    <comment ref="B445" authorId="0" shapeId="0">
      <text>
        <r>
          <rPr>
            <b/>
            <sz val="9"/>
            <color indexed="81"/>
            <rFont val="Tahoma"/>
            <family val="2"/>
          </rPr>
          <t>Author:</t>
        </r>
        <r>
          <rPr>
            <sz val="9"/>
            <color indexed="81"/>
            <rFont val="Tahoma"/>
            <family val="2"/>
          </rPr>
          <t xml:space="preserve">
Computers/Peripherals</t>
        </r>
      </text>
    </comment>
    <comment ref="C445" authorId="0" shapeId="0">
      <text>
        <r>
          <rPr>
            <b/>
            <sz val="9"/>
            <color indexed="81"/>
            <rFont val="Tahoma"/>
            <family val="2"/>
          </rPr>
          <t>Author:</t>
        </r>
        <r>
          <rPr>
            <sz val="9"/>
            <color indexed="81"/>
            <rFont val="Tahoma"/>
            <family val="2"/>
          </rPr>
          <t xml:space="preserve">
Computers/Peripherals</t>
        </r>
      </text>
    </comment>
    <comment ref="D445" authorId="0" shapeId="0">
      <text>
        <r>
          <rPr>
            <b/>
            <sz val="9"/>
            <color indexed="81"/>
            <rFont val="Tahoma"/>
            <family val="2"/>
          </rPr>
          <t>Author:</t>
        </r>
        <r>
          <rPr>
            <sz val="9"/>
            <color indexed="81"/>
            <rFont val="Tahoma"/>
            <family val="2"/>
          </rPr>
          <t xml:space="preserve">
Computers/Peripherals</t>
        </r>
      </text>
    </comment>
    <comment ref="E445" authorId="0" shapeId="0">
      <text>
        <r>
          <rPr>
            <b/>
            <sz val="9"/>
            <color indexed="81"/>
            <rFont val="Tahoma"/>
            <family val="2"/>
          </rPr>
          <t>Author:</t>
        </r>
        <r>
          <rPr>
            <sz val="9"/>
            <color indexed="81"/>
            <rFont val="Tahoma"/>
            <family val="2"/>
          </rPr>
          <t xml:space="preserve">
Computers/Peripherals</t>
        </r>
      </text>
    </comment>
    <comment ref="F445" authorId="0" shapeId="0">
      <text>
        <r>
          <rPr>
            <b/>
            <sz val="9"/>
            <color indexed="81"/>
            <rFont val="Tahoma"/>
            <family val="2"/>
          </rPr>
          <t>Author:</t>
        </r>
        <r>
          <rPr>
            <sz val="9"/>
            <color indexed="81"/>
            <rFont val="Tahoma"/>
            <family val="2"/>
          </rPr>
          <t xml:space="preserve">
Computers/Peripherals</t>
        </r>
      </text>
    </comment>
    <comment ref="G445" authorId="0" shapeId="0">
      <text>
        <r>
          <rPr>
            <b/>
            <sz val="9"/>
            <color indexed="81"/>
            <rFont val="Tahoma"/>
            <family val="2"/>
          </rPr>
          <t>Author:</t>
        </r>
        <r>
          <rPr>
            <sz val="9"/>
            <color indexed="81"/>
            <rFont val="Tahoma"/>
            <family val="2"/>
          </rPr>
          <t xml:space="preserve">
Computers/Peripherals</t>
        </r>
      </text>
    </comment>
    <comment ref="H445" authorId="0" shapeId="0">
      <text>
        <r>
          <rPr>
            <b/>
            <sz val="9"/>
            <color indexed="81"/>
            <rFont val="Tahoma"/>
            <family val="2"/>
          </rPr>
          <t>Author:</t>
        </r>
        <r>
          <rPr>
            <sz val="9"/>
            <color indexed="81"/>
            <rFont val="Tahoma"/>
            <family val="2"/>
          </rPr>
          <t xml:space="preserve">
Computers/Peripherals</t>
        </r>
      </text>
    </comment>
    <comment ref="I445" authorId="0" shapeId="0">
      <text>
        <r>
          <rPr>
            <b/>
            <sz val="9"/>
            <color indexed="81"/>
            <rFont val="Tahoma"/>
            <family val="2"/>
          </rPr>
          <t>Author:</t>
        </r>
        <r>
          <rPr>
            <sz val="9"/>
            <color indexed="81"/>
            <rFont val="Tahoma"/>
            <family val="2"/>
          </rPr>
          <t xml:space="preserve">
Computers/Peripherals</t>
        </r>
      </text>
    </comment>
    <comment ref="J445" authorId="0" shapeId="0">
      <text>
        <r>
          <rPr>
            <b/>
            <sz val="9"/>
            <color indexed="81"/>
            <rFont val="Tahoma"/>
            <family val="2"/>
          </rPr>
          <t>Author:</t>
        </r>
        <r>
          <rPr>
            <sz val="9"/>
            <color indexed="81"/>
            <rFont val="Tahoma"/>
            <family val="2"/>
          </rPr>
          <t xml:space="preserve">
Computers/Peripherals</t>
        </r>
      </text>
    </comment>
    <comment ref="K445" authorId="0" shapeId="0">
      <text>
        <r>
          <rPr>
            <b/>
            <sz val="9"/>
            <color indexed="81"/>
            <rFont val="Tahoma"/>
            <family val="2"/>
          </rPr>
          <t>Author:</t>
        </r>
        <r>
          <rPr>
            <sz val="9"/>
            <color indexed="81"/>
            <rFont val="Tahoma"/>
            <family val="2"/>
          </rPr>
          <t xml:space="preserve">
Computers/Peripherals</t>
        </r>
      </text>
    </comment>
    <comment ref="L445" authorId="0" shapeId="0">
      <text>
        <r>
          <rPr>
            <b/>
            <sz val="9"/>
            <color indexed="81"/>
            <rFont val="Tahoma"/>
            <family val="2"/>
          </rPr>
          <t>Author:</t>
        </r>
        <r>
          <rPr>
            <sz val="9"/>
            <color indexed="81"/>
            <rFont val="Tahoma"/>
            <family val="2"/>
          </rPr>
          <t xml:space="preserve">
Computers/Peripherals</t>
        </r>
      </text>
    </comment>
    <comment ref="M445" authorId="0" shapeId="0">
      <text>
        <r>
          <rPr>
            <b/>
            <sz val="9"/>
            <color indexed="81"/>
            <rFont val="Tahoma"/>
            <family val="2"/>
          </rPr>
          <t>Author:</t>
        </r>
        <r>
          <rPr>
            <sz val="9"/>
            <color indexed="81"/>
            <rFont val="Tahoma"/>
            <family val="2"/>
          </rPr>
          <t xml:space="preserve">
Computers/Peripherals</t>
        </r>
      </text>
    </comment>
    <comment ref="B446" authorId="0" shapeId="0">
      <text>
        <r>
          <rPr>
            <b/>
            <sz val="9"/>
            <color indexed="81"/>
            <rFont val="Tahoma"/>
            <family val="2"/>
          </rPr>
          <t>Author:</t>
        </r>
        <r>
          <rPr>
            <sz val="9"/>
            <color indexed="81"/>
            <rFont val="Tahoma"/>
            <family val="2"/>
          </rPr>
          <t xml:space="preserve">
Electronics (General)</t>
        </r>
      </text>
    </comment>
    <comment ref="C446" authorId="0" shapeId="0">
      <text>
        <r>
          <rPr>
            <b/>
            <sz val="9"/>
            <color indexed="81"/>
            <rFont val="Tahoma"/>
            <family val="2"/>
          </rPr>
          <t>Author:</t>
        </r>
        <r>
          <rPr>
            <sz val="9"/>
            <color indexed="81"/>
            <rFont val="Tahoma"/>
            <family val="2"/>
          </rPr>
          <t xml:space="preserve">
Electronics (General)</t>
        </r>
      </text>
    </comment>
    <comment ref="D446" authorId="0" shapeId="0">
      <text>
        <r>
          <rPr>
            <b/>
            <sz val="9"/>
            <color indexed="81"/>
            <rFont val="Tahoma"/>
            <family val="2"/>
          </rPr>
          <t>Author:</t>
        </r>
        <r>
          <rPr>
            <sz val="9"/>
            <color indexed="81"/>
            <rFont val="Tahoma"/>
            <family val="2"/>
          </rPr>
          <t xml:space="preserve">
Electronics (General)</t>
        </r>
      </text>
    </comment>
    <comment ref="E446" authorId="0" shapeId="0">
      <text>
        <r>
          <rPr>
            <b/>
            <sz val="9"/>
            <color indexed="81"/>
            <rFont val="Tahoma"/>
            <family val="2"/>
          </rPr>
          <t>Author:</t>
        </r>
        <r>
          <rPr>
            <sz val="9"/>
            <color indexed="81"/>
            <rFont val="Tahoma"/>
            <family val="2"/>
          </rPr>
          <t xml:space="preserve">
Electronics (General)</t>
        </r>
      </text>
    </comment>
    <comment ref="F446" authorId="0" shapeId="0">
      <text>
        <r>
          <rPr>
            <b/>
            <sz val="9"/>
            <color indexed="81"/>
            <rFont val="Tahoma"/>
            <family val="2"/>
          </rPr>
          <t>Author:</t>
        </r>
        <r>
          <rPr>
            <sz val="9"/>
            <color indexed="81"/>
            <rFont val="Tahoma"/>
            <family val="2"/>
          </rPr>
          <t xml:space="preserve">
Electronics (General)</t>
        </r>
      </text>
    </comment>
    <comment ref="G446" authorId="0" shapeId="0">
      <text>
        <r>
          <rPr>
            <b/>
            <sz val="9"/>
            <color indexed="81"/>
            <rFont val="Tahoma"/>
            <family val="2"/>
          </rPr>
          <t>Author:</t>
        </r>
        <r>
          <rPr>
            <sz val="9"/>
            <color indexed="81"/>
            <rFont val="Tahoma"/>
            <family val="2"/>
          </rPr>
          <t xml:space="preserve">
Electronics (General)</t>
        </r>
      </text>
    </comment>
    <comment ref="H446" authorId="0" shapeId="0">
      <text>
        <r>
          <rPr>
            <b/>
            <sz val="9"/>
            <color indexed="81"/>
            <rFont val="Tahoma"/>
            <family val="2"/>
          </rPr>
          <t>Author:</t>
        </r>
        <r>
          <rPr>
            <sz val="9"/>
            <color indexed="81"/>
            <rFont val="Tahoma"/>
            <family val="2"/>
          </rPr>
          <t xml:space="preserve">
Electronics (General)</t>
        </r>
      </text>
    </comment>
    <comment ref="I446" authorId="0" shapeId="0">
      <text>
        <r>
          <rPr>
            <b/>
            <sz val="9"/>
            <color indexed="81"/>
            <rFont val="Tahoma"/>
            <family val="2"/>
          </rPr>
          <t>Author:</t>
        </r>
        <r>
          <rPr>
            <sz val="9"/>
            <color indexed="81"/>
            <rFont val="Tahoma"/>
            <family val="2"/>
          </rPr>
          <t xml:space="preserve">
Electronics (General)</t>
        </r>
      </text>
    </comment>
    <comment ref="J446" authorId="0" shapeId="0">
      <text>
        <r>
          <rPr>
            <b/>
            <sz val="9"/>
            <color indexed="81"/>
            <rFont val="Tahoma"/>
            <family val="2"/>
          </rPr>
          <t>Author:</t>
        </r>
        <r>
          <rPr>
            <sz val="9"/>
            <color indexed="81"/>
            <rFont val="Tahoma"/>
            <family val="2"/>
          </rPr>
          <t xml:space="preserve">
Electronics (General)</t>
        </r>
      </text>
    </comment>
    <comment ref="K446" authorId="0" shapeId="0">
      <text>
        <r>
          <rPr>
            <b/>
            <sz val="9"/>
            <color indexed="81"/>
            <rFont val="Tahoma"/>
            <family val="2"/>
          </rPr>
          <t>Author:</t>
        </r>
        <r>
          <rPr>
            <sz val="9"/>
            <color indexed="81"/>
            <rFont val="Tahoma"/>
            <family val="2"/>
          </rPr>
          <t xml:space="preserve">
Electronics (General)</t>
        </r>
      </text>
    </comment>
    <comment ref="L446" authorId="0" shapeId="0">
      <text>
        <r>
          <rPr>
            <b/>
            <sz val="9"/>
            <color indexed="81"/>
            <rFont val="Tahoma"/>
            <family val="2"/>
          </rPr>
          <t>Author:</t>
        </r>
        <r>
          <rPr>
            <sz val="9"/>
            <color indexed="81"/>
            <rFont val="Tahoma"/>
            <family val="2"/>
          </rPr>
          <t xml:space="preserve">
Electronics (General)</t>
        </r>
      </text>
    </comment>
    <comment ref="M446" authorId="0" shapeId="0">
      <text>
        <r>
          <rPr>
            <b/>
            <sz val="9"/>
            <color indexed="81"/>
            <rFont val="Tahoma"/>
            <family val="2"/>
          </rPr>
          <t>Author:</t>
        </r>
        <r>
          <rPr>
            <sz val="9"/>
            <color indexed="81"/>
            <rFont val="Tahoma"/>
            <family val="2"/>
          </rPr>
          <t xml:space="preserve">
Electronics (General)</t>
        </r>
      </text>
    </comment>
    <comment ref="B447" authorId="0" shapeId="0">
      <text>
        <r>
          <rPr>
            <b/>
            <sz val="9"/>
            <color indexed="81"/>
            <rFont val="Tahoma"/>
            <family val="2"/>
          </rPr>
          <t>Author:</t>
        </r>
        <r>
          <rPr>
            <sz val="9"/>
            <color indexed="81"/>
            <rFont val="Tahoma"/>
            <family val="2"/>
          </rPr>
          <t xml:space="preserve">
Retail (Special Lines)</t>
        </r>
      </text>
    </comment>
    <comment ref="C447" authorId="0" shapeId="0">
      <text>
        <r>
          <rPr>
            <b/>
            <sz val="9"/>
            <color indexed="81"/>
            <rFont val="Tahoma"/>
            <family val="2"/>
          </rPr>
          <t>Author:</t>
        </r>
        <r>
          <rPr>
            <sz val="9"/>
            <color indexed="81"/>
            <rFont val="Tahoma"/>
            <family val="2"/>
          </rPr>
          <t xml:space="preserve">
Retail (Special Lines)</t>
        </r>
      </text>
    </comment>
    <comment ref="D447" authorId="0" shapeId="0">
      <text>
        <r>
          <rPr>
            <b/>
            <sz val="9"/>
            <color indexed="81"/>
            <rFont val="Tahoma"/>
            <family val="2"/>
          </rPr>
          <t>Author:</t>
        </r>
        <r>
          <rPr>
            <sz val="9"/>
            <color indexed="81"/>
            <rFont val="Tahoma"/>
            <family val="2"/>
          </rPr>
          <t xml:space="preserve">
Retail (Special Lines)</t>
        </r>
      </text>
    </comment>
    <comment ref="E447" authorId="0" shapeId="0">
      <text>
        <r>
          <rPr>
            <b/>
            <sz val="9"/>
            <color indexed="81"/>
            <rFont val="Tahoma"/>
            <family val="2"/>
          </rPr>
          <t>Author:</t>
        </r>
        <r>
          <rPr>
            <sz val="9"/>
            <color indexed="81"/>
            <rFont val="Tahoma"/>
            <family val="2"/>
          </rPr>
          <t xml:space="preserve">
Retail (Special Lines)</t>
        </r>
      </text>
    </comment>
    <comment ref="F447" authorId="0" shapeId="0">
      <text>
        <r>
          <rPr>
            <b/>
            <sz val="9"/>
            <color indexed="81"/>
            <rFont val="Tahoma"/>
            <family val="2"/>
          </rPr>
          <t>Author:</t>
        </r>
        <r>
          <rPr>
            <sz val="9"/>
            <color indexed="81"/>
            <rFont val="Tahoma"/>
            <family val="2"/>
          </rPr>
          <t xml:space="preserve">
Retail (Special Lines)</t>
        </r>
      </text>
    </comment>
    <comment ref="G447" authorId="0" shapeId="0">
      <text>
        <r>
          <rPr>
            <b/>
            <sz val="9"/>
            <color indexed="81"/>
            <rFont val="Tahoma"/>
            <family val="2"/>
          </rPr>
          <t>Author:</t>
        </r>
        <r>
          <rPr>
            <sz val="9"/>
            <color indexed="81"/>
            <rFont val="Tahoma"/>
            <family val="2"/>
          </rPr>
          <t xml:space="preserve">
Retail (Special Lines)</t>
        </r>
      </text>
    </comment>
    <comment ref="H447" authorId="0" shapeId="0">
      <text>
        <r>
          <rPr>
            <b/>
            <sz val="9"/>
            <color indexed="81"/>
            <rFont val="Tahoma"/>
            <family val="2"/>
          </rPr>
          <t>Author:</t>
        </r>
        <r>
          <rPr>
            <sz val="9"/>
            <color indexed="81"/>
            <rFont val="Tahoma"/>
            <family val="2"/>
          </rPr>
          <t xml:space="preserve">
Retail (Special Lines)</t>
        </r>
      </text>
    </comment>
    <comment ref="I447" authorId="0" shapeId="0">
      <text>
        <r>
          <rPr>
            <b/>
            <sz val="9"/>
            <color indexed="81"/>
            <rFont val="Tahoma"/>
            <family val="2"/>
          </rPr>
          <t>Author:</t>
        </r>
        <r>
          <rPr>
            <sz val="9"/>
            <color indexed="81"/>
            <rFont val="Tahoma"/>
            <family val="2"/>
          </rPr>
          <t xml:space="preserve">
Retail (Special Lines)</t>
        </r>
      </text>
    </comment>
    <comment ref="J447" authorId="0" shapeId="0">
      <text>
        <r>
          <rPr>
            <b/>
            <sz val="9"/>
            <color indexed="81"/>
            <rFont val="Tahoma"/>
            <family val="2"/>
          </rPr>
          <t>Author:</t>
        </r>
        <r>
          <rPr>
            <sz val="9"/>
            <color indexed="81"/>
            <rFont val="Tahoma"/>
            <family val="2"/>
          </rPr>
          <t xml:space="preserve">
Retail (Special Lines)</t>
        </r>
      </text>
    </comment>
    <comment ref="K447" authorId="0" shapeId="0">
      <text>
        <r>
          <rPr>
            <b/>
            <sz val="9"/>
            <color indexed="81"/>
            <rFont val="Tahoma"/>
            <family val="2"/>
          </rPr>
          <t>Author:</t>
        </r>
        <r>
          <rPr>
            <sz val="9"/>
            <color indexed="81"/>
            <rFont val="Tahoma"/>
            <family val="2"/>
          </rPr>
          <t xml:space="preserve">
Retail (Special Lines)</t>
        </r>
      </text>
    </comment>
    <comment ref="L447" authorId="0" shapeId="0">
      <text>
        <r>
          <rPr>
            <b/>
            <sz val="9"/>
            <color indexed="81"/>
            <rFont val="Tahoma"/>
            <family val="2"/>
          </rPr>
          <t>Author:</t>
        </r>
        <r>
          <rPr>
            <sz val="9"/>
            <color indexed="81"/>
            <rFont val="Tahoma"/>
            <family val="2"/>
          </rPr>
          <t xml:space="preserve">
Retail (Special Lines)</t>
        </r>
      </text>
    </comment>
    <comment ref="M447" authorId="0" shapeId="0">
      <text>
        <r>
          <rPr>
            <b/>
            <sz val="9"/>
            <color indexed="81"/>
            <rFont val="Tahoma"/>
            <family val="2"/>
          </rPr>
          <t>Author:</t>
        </r>
        <r>
          <rPr>
            <sz val="9"/>
            <color indexed="81"/>
            <rFont val="Tahoma"/>
            <family val="2"/>
          </rPr>
          <t xml:space="preserve">
Retail (Special Lines)</t>
        </r>
      </text>
    </comment>
    <comment ref="B457" authorId="0" shapeId="0">
      <text>
        <r>
          <rPr>
            <b/>
            <sz val="9"/>
            <color indexed="81"/>
            <rFont val="Tahoma"/>
            <family val="2"/>
          </rPr>
          <t>Author:</t>
        </r>
        <r>
          <rPr>
            <sz val="9"/>
            <color indexed="81"/>
            <rFont val="Tahoma"/>
            <family val="2"/>
          </rPr>
          <t xml:space="preserve">
Computers/Peripherals</t>
        </r>
      </text>
    </comment>
    <comment ref="C457" authorId="0" shapeId="0">
      <text>
        <r>
          <rPr>
            <b/>
            <sz val="9"/>
            <color indexed="81"/>
            <rFont val="Tahoma"/>
            <family val="2"/>
          </rPr>
          <t>Author:</t>
        </r>
        <r>
          <rPr>
            <sz val="9"/>
            <color indexed="81"/>
            <rFont val="Tahoma"/>
            <family val="2"/>
          </rPr>
          <t xml:space="preserve">
Computers/Peripherals</t>
        </r>
      </text>
    </comment>
    <comment ref="D457" authorId="0" shapeId="0">
      <text>
        <r>
          <rPr>
            <b/>
            <sz val="9"/>
            <color indexed="81"/>
            <rFont val="Tahoma"/>
            <family val="2"/>
          </rPr>
          <t>Author:</t>
        </r>
        <r>
          <rPr>
            <sz val="9"/>
            <color indexed="81"/>
            <rFont val="Tahoma"/>
            <family val="2"/>
          </rPr>
          <t xml:space="preserve">
Computers/Peripherals</t>
        </r>
      </text>
    </comment>
    <comment ref="E457" authorId="0" shapeId="0">
      <text>
        <r>
          <rPr>
            <b/>
            <sz val="9"/>
            <color indexed="81"/>
            <rFont val="Tahoma"/>
            <family val="2"/>
          </rPr>
          <t>Author:</t>
        </r>
        <r>
          <rPr>
            <sz val="9"/>
            <color indexed="81"/>
            <rFont val="Tahoma"/>
            <family val="2"/>
          </rPr>
          <t xml:space="preserve">
Computers/Peripherals</t>
        </r>
      </text>
    </comment>
    <comment ref="F457" authorId="0" shapeId="0">
      <text>
        <r>
          <rPr>
            <b/>
            <sz val="9"/>
            <color indexed="81"/>
            <rFont val="Tahoma"/>
            <family val="2"/>
          </rPr>
          <t>Author:</t>
        </r>
        <r>
          <rPr>
            <sz val="9"/>
            <color indexed="81"/>
            <rFont val="Tahoma"/>
            <family val="2"/>
          </rPr>
          <t xml:space="preserve">
Computers/Peripherals</t>
        </r>
      </text>
    </comment>
    <comment ref="G457" authorId="0" shapeId="0">
      <text>
        <r>
          <rPr>
            <b/>
            <sz val="9"/>
            <color indexed="81"/>
            <rFont val="Tahoma"/>
            <family val="2"/>
          </rPr>
          <t>Author:</t>
        </r>
        <r>
          <rPr>
            <sz val="9"/>
            <color indexed="81"/>
            <rFont val="Tahoma"/>
            <family val="2"/>
          </rPr>
          <t xml:space="preserve">
Computers/Peripherals</t>
        </r>
      </text>
    </comment>
    <comment ref="H457" authorId="0" shapeId="0">
      <text>
        <r>
          <rPr>
            <b/>
            <sz val="9"/>
            <color indexed="81"/>
            <rFont val="Tahoma"/>
            <family val="2"/>
          </rPr>
          <t>Author:</t>
        </r>
        <r>
          <rPr>
            <sz val="9"/>
            <color indexed="81"/>
            <rFont val="Tahoma"/>
            <family val="2"/>
          </rPr>
          <t xml:space="preserve">
Computers/Peripherals</t>
        </r>
      </text>
    </comment>
    <comment ref="I457" authorId="0" shapeId="0">
      <text>
        <r>
          <rPr>
            <b/>
            <sz val="9"/>
            <color indexed="81"/>
            <rFont val="Tahoma"/>
            <family val="2"/>
          </rPr>
          <t>Author:</t>
        </r>
        <r>
          <rPr>
            <sz val="9"/>
            <color indexed="81"/>
            <rFont val="Tahoma"/>
            <family val="2"/>
          </rPr>
          <t xml:space="preserve">
Computers/Peripherals</t>
        </r>
      </text>
    </comment>
    <comment ref="J457" authorId="0" shapeId="0">
      <text>
        <r>
          <rPr>
            <b/>
            <sz val="9"/>
            <color indexed="81"/>
            <rFont val="Tahoma"/>
            <family val="2"/>
          </rPr>
          <t>Author:</t>
        </r>
        <r>
          <rPr>
            <sz val="9"/>
            <color indexed="81"/>
            <rFont val="Tahoma"/>
            <family val="2"/>
          </rPr>
          <t xml:space="preserve">
Computers/Peripherals</t>
        </r>
      </text>
    </comment>
    <comment ref="K457" authorId="0" shapeId="0">
      <text>
        <r>
          <rPr>
            <b/>
            <sz val="9"/>
            <color indexed="81"/>
            <rFont val="Tahoma"/>
            <family val="2"/>
          </rPr>
          <t>Author:</t>
        </r>
        <r>
          <rPr>
            <sz val="9"/>
            <color indexed="81"/>
            <rFont val="Tahoma"/>
            <family val="2"/>
          </rPr>
          <t xml:space="preserve">
Computers/Peripherals</t>
        </r>
      </text>
    </comment>
    <comment ref="L457" authorId="0" shapeId="0">
      <text>
        <r>
          <rPr>
            <b/>
            <sz val="9"/>
            <color indexed="81"/>
            <rFont val="Tahoma"/>
            <family val="2"/>
          </rPr>
          <t>Author:</t>
        </r>
        <r>
          <rPr>
            <sz val="9"/>
            <color indexed="81"/>
            <rFont val="Tahoma"/>
            <family val="2"/>
          </rPr>
          <t xml:space="preserve">
Computers/Peripherals</t>
        </r>
      </text>
    </comment>
    <comment ref="M457" authorId="0" shapeId="0">
      <text>
        <r>
          <rPr>
            <b/>
            <sz val="9"/>
            <color indexed="81"/>
            <rFont val="Tahoma"/>
            <family val="2"/>
          </rPr>
          <t>Author:</t>
        </r>
        <r>
          <rPr>
            <sz val="9"/>
            <color indexed="81"/>
            <rFont val="Tahoma"/>
            <family val="2"/>
          </rPr>
          <t xml:space="preserve">
Computers/Peripherals</t>
        </r>
      </text>
    </comment>
    <comment ref="B458" authorId="0" shapeId="0">
      <text>
        <r>
          <rPr>
            <b/>
            <sz val="9"/>
            <color indexed="81"/>
            <rFont val="Tahoma"/>
            <family val="2"/>
          </rPr>
          <t>Author:</t>
        </r>
        <r>
          <rPr>
            <sz val="9"/>
            <color indexed="81"/>
            <rFont val="Tahoma"/>
            <family val="2"/>
          </rPr>
          <t xml:space="preserve">
Electronics (General)</t>
        </r>
      </text>
    </comment>
    <comment ref="C458" authorId="0" shapeId="0">
      <text>
        <r>
          <rPr>
            <b/>
            <sz val="9"/>
            <color indexed="81"/>
            <rFont val="Tahoma"/>
            <family val="2"/>
          </rPr>
          <t>Author:</t>
        </r>
        <r>
          <rPr>
            <sz val="9"/>
            <color indexed="81"/>
            <rFont val="Tahoma"/>
            <family val="2"/>
          </rPr>
          <t xml:space="preserve">
Electronics (General)</t>
        </r>
      </text>
    </comment>
    <comment ref="D458" authorId="0" shapeId="0">
      <text>
        <r>
          <rPr>
            <b/>
            <sz val="9"/>
            <color indexed="81"/>
            <rFont val="Tahoma"/>
            <family val="2"/>
          </rPr>
          <t>Author:</t>
        </r>
        <r>
          <rPr>
            <sz val="9"/>
            <color indexed="81"/>
            <rFont val="Tahoma"/>
            <family val="2"/>
          </rPr>
          <t xml:space="preserve">
Electronics (General)</t>
        </r>
      </text>
    </comment>
    <comment ref="E458" authorId="0" shapeId="0">
      <text>
        <r>
          <rPr>
            <b/>
            <sz val="9"/>
            <color indexed="81"/>
            <rFont val="Tahoma"/>
            <family val="2"/>
          </rPr>
          <t>Author:</t>
        </r>
        <r>
          <rPr>
            <sz val="9"/>
            <color indexed="81"/>
            <rFont val="Tahoma"/>
            <family val="2"/>
          </rPr>
          <t xml:space="preserve">
Electronics (General)</t>
        </r>
      </text>
    </comment>
    <comment ref="F458" authorId="0" shapeId="0">
      <text>
        <r>
          <rPr>
            <b/>
            <sz val="9"/>
            <color indexed="81"/>
            <rFont val="Tahoma"/>
            <family val="2"/>
          </rPr>
          <t>Author:</t>
        </r>
        <r>
          <rPr>
            <sz val="9"/>
            <color indexed="81"/>
            <rFont val="Tahoma"/>
            <family val="2"/>
          </rPr>
          <t xml:space="preserve">
Electronics (General)</t>
        </r>
      </text>
    </comment>
    <comment ref="G458" authorId="0" shapeId="0">
      <text>
        <r>
          <rPr>
            <b/>
            <sz val="9"/>
            <color indexed="81"/>
            <rFont val="Tahoma"/>
            <family val="2"/>
          </rPr>
          <t>Author:</t>
        </r>
        <r>
          <rPr>
            <sz val="9"/>
            <color indexed="81"/>
            <rFont val="Tahoma"/>
            <family val="2"/>
          </rPr>
          <t xml:space="preserve">
Electronics (General)</t>
        </r>
      </text>
    </comment>
    <comment ref="H458" authorId="0" shapeId="0">
      <text>
        <r>
          <rPr>
            <b/>
            <sz val="9"/>
            <color indexed="81"/>
            <rFont val="Tahoma"/>
            <family val="2"/>
          </rPr>
          <t>Author:</t>
        </r>
        <r>
          <rPr>
            <sz val="9"/>
            <color indexed="81"/>
            <rFont val="Tahoma"/>
            <family val="2"/>
          </rPr>
          <t xml:space="preserve">
Electronics (General)</t>
        </r>
      </text>
    </comment>
    <comment ref="I458" authorId="0" shapeId="0">
      <text>
        <r>
          <rPr>
            <b/>
            <sz val="9"/>
            <color indexed="81"/>
            <rFont val="Tahoma"/>
            <family val="2"/>
          </rPr>
          <t>Author:</t>
        </r>
        <r>
          <rPr>
            <sz val="9"/>
            <color indexed="81"/>
            <rFont val="Tahoma"/>
            <family val="2"/>
          </rPr>
          <t xml:space="preserve">
Electronics (General)</t>
        </r>
      </text>
    </comment>
    <comment ref="J458" authorId="0" shapeId="0">
      <text>
        <r>
          <rPr>
            <b/>
            <sz val="9"/>
            <color indexed="81"/>
            <rFont val="Tahoma"/>
            <family val="2"/>
          </rPr>
          <t>Author:</t>
        </r>
        <r>
          <rPr>
            <sz val="9"/>
            <color indexed="81"/>
            <rFont val="Tahoma"/>
            <family val="2"/>
          </rPr>
          <t xml:space="preserve">
Electronics (General)</t>
        </r>
      </text>
    </comment>
    <comment ref="K458" authorId="0" shapeId="0">
      <text>
        <r>
          <rPr>
            <b/>
            <sz val="9"/>
            <color indexed="81"/>
            <rFont val="Tahoma"/>
            <family val="2"/>
          </rPr>
          <t>Author:</t>
        </r>
        <r>
          <rPr>
            <sz val="9"/>
            <color indexed="81"/>
            <rFont val="Tahoma"/>
            <family val="2"/>
          </rPr>
          <t xml:space="preserve">
Electronics (General)</t>
        </r>
      </text>
    </comment>
    <comment ref="L458" authorId="0" shapeId="0">
      <text>
        <r>
          <rPr>
            <b/>
            <sz val="9"/>
            <color indexed="81"/>
            <rFont val="Tahoma"/>
            <family val="2"/>
          </rPr>
          <t>Author:</t>
        </r>
        <r>
          <rPr>
            <sz val="9"/>
            <color indexed="81"/>
            <rFont val="Tahoma"/>
            <family val="2"/>
          </rPr>
          <t xml:space="preserve">
Electronics (General)</t>
        </r>
      </text>
    </comment>
    <comment ref="M458" authorId="0" shapeId="0">
      <text>
        <r>
          <rPr>
            <b/>
            <sz val="9"/>
            <color indexed="81"/>
            <rFont val="Tahoma"/>
            <family val="2"/>
          </rPr>
          <t>Author:</t>
        </r>
        <r>
          <rPr>
            <sz val="9"/>
            <color indexed="81"/>
            <rFont val="Tahoma"/>
            <family val="2"/>
          </rPr>
          <t xml:space="preserve">
Electronics (General)</t>
        </r>
      </text>
    </comment>
    <comment ref="B459" authorId="0" shapeId="0">
      <text>
        <r>
          <rPr>
            <b/>
            <sz val="9"/>
            <color indexed="81"/>
            <rFont val="Tahoma"/>
            <family val="2"/>
          </rPr>
          <t>Author:</t>
        </r>
        <r>
          <rPr>
            <sz val="9"/>
            <color indexed="81"/>
            <rFont val="Tahoma"/>
            <family val="2"/>
          </rPr>
          <t xml:space="preserve">
Retail (Special Lines)</t>
        </r>
      </text>
    </comment>
    <comment ref="C459" authorId="0" shapeId="0">
      <text>
        <r>
          <rPr>
            <b/>
            <sz val="9"/>
            <color indexed="81"/>
            <rFont val="Tahoma"/>
            <family val="2"/>
          </rPr>
          <t>Author:</t>
        </r>
        <r>
          <rPr>
            <sz val="9"/>
            <color indexed="81"/>
            <rFont val="Tahoma"/>
            <family val="2"/>
          </rPr>
          <t xml:space="preserve">
Retail (Special Lines)</t>
        </r>
      </text>
    </comment>
    <comment ref="D459" authorId="0" shapeId="0">
      <text>
        <r>
          <rPr>
            <b/>
            <sz val="9"/>
            <color indexed="81"/>
            <rFont val="Tahoma"/>
            <family val="2"/>
          </rPr>
          <t>Author:</t>
        </r>
        <r>
          <rPr>
            <sz val="9"/>
            <color indexed="81"/>
            <rFont val="Tahoma"/>
            <family val="2"/>
          </rPr>
          <t xml:space="preserve">
Retail (Special Lines)</t>
        </r>
      </text>
    </comment>
    <comment ref="E459" authorId="0" shapeId="0">
      <text>
        <r>
          <rPr>
            <b/>
            <sz val="9"/>
            <color indexed="81"/>
            <rFont val="Tahoma"/>
            <family val="2"/>
          </rPr>
          <t>Author:</t>
        </r>
        <r>
          <rPr>
            <sz val="9"/>
            <color indexed="81"/>
            <rFont val="Tahoma"/>
            <family val="2"/>
          </rPr>
          <t xml:space="preserve">
Retail (Special Lines)</t>
        </r>
      </text>
    </comment>
    <comment ref="F459" authorId="0" shapeId="0">
      <text>
        <r>
          <rPr>
            <b/>
            <sz val="9"/>
            <color indexed="81"/>
            <rFont val="Tahoma"/>
            <family val="2"/>
          </rPr>
          <t>Author:</t>
        </r>
        <r>
          <rPr>
            <sz val="9"/>
            <color indexed="81"/>
            <rFont val="Tahoma"/>
            <family val="2"/>
          </rPr>
          <t xml:space="preserve">
Retail (Special Lines)</t>
        </r>
      </text>
    </comment>
    <comment ref="G459" authorId="0" shapeId="0">
      <text>
        <r>
          <rPr>
            <b/>
            <sz val="9"/>
            <color indexed="81"/>
            <rFont val="Tahoma"/>
            <family val="2"/>
          </rPr>
          <t>Author:</t>
        </r>
        <r>
          <rPr>
            <sz val="9"/>
            <color indexed="81"/>
            <rFont val="Tahoma"/>
            <family val="2"/>
          </rPr>
          <t xml:space="preserve">
Retail (Special Lines)</t>
        </r>
      </text>
    </comment>
    <comment ref="H459" authorId="0" shapeId="0">
      <text>
        <r>
          <rPr>
            <b/>
            <sz val="9"/>
            <color indexed="81"/>
            <rFont val="Tahoma"/>
            <family val="2"/>
          </rPr>
          <t>Author:</t>
        </r>
        <r>
          <rPr>
            <sz val="9"/>
            <color indexed="81"/>
            <rFont val="Tahoma"/>
            <family val="2"/>
          </rPr>
          <t xml:space="preserve">
Retail (Special Lines)</t>
        </r>
      </text>
    </comment>
    <comment ref="I459" authorId="0" shapeId="0">
      <text>
        <r>
          <rPr>
            <b/>
            <sz val="9"/>
            <color indexed="81"/>
            <rFont val="Tahoma"/>
            <family val="2"/>
          </rPr>
          <t>Author:</t>
        </r>
        <r>
          <rPr>
            <sz val="9"/>
            <color indexed="81"/>
            <rFont val="Tahoma"/>
            <family val="2"/>
          </rPr>
          <t xml:space="preserve">
Retail (Special Lines)</t>
        </r>
      </text>
    </comment>
    <comment ref="J459" authorId="0" shapeId="0">
      <text>
        <r>
          <rPr>
            <b/>
            <sz val="9"/>
            <color indexed="81"/>
            <rFont val="Tahoma"/>
            <family val="2"/>
          </rPr>
          <t>Author:</t>
        </r>
        <r>
          <rPr>
            <sz val="9"/>
            <color indexed="81"/>
            <rFont val="Tahoma"/>
            <family val="2"/>
          </rPr>
          <t xml:space="preserve">
Retail (Special Lines)</t>
        </r>
      </text>
    </comment>
    <comment ref="K459" authorId="0" shapeId="0">
      <text>
        <r>
          <rPr>
            <b/>
            <sz val="9"/>
            <color indexed="81"/>
            <rFont val="Tahoma"/>
            <family val="2"/>
          </rPr>
          <t>Author:</t>
        </r>
        <r>
          <rPr>
            <sz val="9"/>
            <color indexed="81"/>
            <rFont val="Tahoma"/>
            <family val="2"/>
          </rPr>
          <t xml:space="preserve">
Retail (Special Lines)</t>
        </r>
      </text>
    </comment>
    <comment ref="L459" authorId="0" shapeId="0">
      <text>
        <r>
          <rPr>
            <b/>
            <sz val="9"/>
            <color indexed="81"/>
            <rFont val="Tahoma"/>
            <family val="2"/>
          </rPr>
          <t>Author:</t>
        </r>
        <r>
          <rPr>
            <sz val="9"/>
            <color indexed="81"/>
            <rFont val="Tahoma"/>
            <family val="2"/>
          </rPr>
          <t xml:space="preserve">
Retail (Special Lines)</t>
        </r>
      </text>
    </comment>
    <comment ref="M459" authorId="0" shapeId="0">
      <text>
        <r>
          <rPr>
            <b/>
            <sz val="9"/>
            <color indexed="81"/>
            <rFont val="Tahoma"/>
            <family val="2"/>
          </rPr>
          <t>Author:</t>
        </r>
        <r>
          <rPr>
            <sz val="9"/>
            <color indexed="81"/>
            <rFont val="Tahoma"/>
            <family val="2"/>
          </rPr>
          <t xml:space="preserve">
Retail (Special Lines)</t>
        </r>
      </text>
    </comment>
    <comment ref="B469" authorId="0" shapeId="0">
      <text>
        <r>
          <rPr>
            <b/>
            <sz val="9"/>
            <color indexed="81"/>
            <rFont val="Tahoma"/>
            <family val="2"/>
          </rPr>
          <t>Author:</t>
        </r>
        <r>
          <rPr>
            <sz val="9"/>
            <color indexed="81"/>
            <rFont val="Tahoma"/>
            <family val="2"/>
          </rPr>
          <t xml:space="preserve">
Computers/Peripherals</t>
        </r>
      </text>
    </comment>
    <comment ref="C469" authorId="0" shapeId="0">
      <text>
        <r>
          <rPr>
            <b/>
            <sz val="9"/>
            <color indexed="81"/>
            <rFont val="Tahoma"/>
            <family val="2"/>
          </rPr>
          <t>Author:</t>
        </r>
        <r>
          <rPr>
            <sz val="9"/>
            <color indexed="81"/>
            <rFont val="Tahoma"/>
            <family val="2"/>
          </rPr>
          <t xml:space="preserve">
Computers/Peripherals</t>
        </r>
      </text>
    </comment>
    <comment ref="D469" authorId="0" shapeId="0">
      <text>
        <r>
          <rPr>
            <b/>
            <sz val="9"/>
            <color indexed="81"/>
            <rFont val="Tahoma"/>
            <family val="2"/>
          </rPr>
          <t>Author:</t>
        </r>
        <r>
          <rPr>
            <sz val="9"/>
            <color indexed="81"/>
            <rFont val="Tahoma"/>
            <family val="2"/>
          </rPr>
          <t xml:space="preserve">
Computers/Peripherals</t>
        </r>
      </text>
    </comment>
    <comment ref="E469" authorId="0" shapeId="0">
      <text>
        <r>
          <rPr>
            <b/>
            <sz val="9"/>
            <color indexed="81"/>
            <rFont val="Tahoma"/>
            <family val="2"/>
          </rPr>
          <t>Author:</t>
        </r>
        <r>
          <rPr>
            <sz val="9"/>
            <color indexed="81"/>
            <rFont val="Tahoma"/>
            <family val="2"/>
          </rPr>
          <t xml:space="preserve">
Computers/Peripherals</t>
        </r>
      </text>
    </comment>
    <comment ref="F469" authorId="0" shapeId="0">
      <text>
        <r>
          <rPr>
            <b/>
            <sz val="9"/>
            <color indexed="81"/>
            <rFont val="Tahoma"/>
            <family val="2"/>
          </rPr>
          <t>Author:</t>
        </r>
        <r>
          <rPr>
            <sz val="9"/>
            <color indexed="81"/>
            <rFont val="Tahoma"/>
            <family val="2"/>
          </rPr>
          <t xml:space="preserve">
Computers/Peripherals</t>
        </r>
      </text>
    </comment>
    <comment ref="G469" authorId="0" shapeId="0">
      <text>
        <r>
          <rPr>
            <b/>
            <sz val="9"/>
            <color indexed="81"/>
            <rFont val="Tahoma"/>
            <family val="2"/>
          </rPr>
          <t>Author:</t>
        </r>
        <r>
          <rPr>
            <sz val="9"/>
            <color indexed="81"/>
            <rFont val="Tahoma"/>
            <family val="2"/>
          </rPr>
          <t xml:space="preserve">
Computers/Peripherals</t>
        </r>
      </text>
    </comment>
    <comment ref="H469" authorId="0" shapeId="0">
      <text>
        <r>
          <rPr>
            <b/>
            <sz val="9"/>
            <color indexed="81"/>
            <rFont val="Tahoma"/>
            <family val="2"/>
          </rPr>
          <t>Author:</t>
        </r>
        <r>
          <rPr>
            <sz val="9"/>
            <color indexed="81"/>
            <rFont val="Tahoma"/>
            <family val="2"/>
          </rPr>
          <t xml:space="preserve">
Computers/Peripherals</t>
        </r>
      </text>
    </comment>
    <comment ref="I469" authorId="0" shapeId="0">
      <text>
        <r>
          <rPr>
            <b/>
            <sz val="9"/>
            <color indexed="81"/>
            <rFont val="Tahoma"/>
            <family val="2"/>
          </rPr>
          <t>Author:</t>
        </r>
        <r>
          <rPr>
            <sz val="9"/>
            <color indexed="81"/>
            <rFont val="Tahoma"/>
            <family val="2"/>
          </rPr>
          <t xml:space="preserve">
Computers/Peripherals</t>
        </r>
      </text>
    </comment>
    <comment ref="J469" authorId="0" shapeId="0">
      <text>
        <r>
          <rPr>
            <b/>
            <sz val="9"/>
            <color indexed="81"/>
            <rFont val="Tahoma"/>
            <family val="2"/>
          </rPr>
          <t>Author:</t>
        </r>
        <r>
          <rPr>
            <sz val="9"/>
            <color indexed="81"/>
            <rFont val="Tahoma"/>
            <family val="2"/>
          </rPr>
          <t xml:space="preserve">
Computers/Peripherals</t>
        </r>
      </text>
    </comment>
    <comment ref="K469" authorId="0" shapeId="0">
      <text>
        <r>
          <rPr>
            <b/>
            <sz val="9"/>
            <color indexed="81"/>
            <rFont val="Tahoma"/>
            <family val="2"/>
          </rPr>
          <t>Author:</t>
        </r>
        <r>
          <rPr>
            <sz val="9"/>
            <color indexed="81"/>
            <rFont val="Tahoma"/>
            <family val="2"/>
          </rPr>
          <t xml:space="preserve">
Computers/Peripherals</t>
        </r>
      </text>
    </comment>
    <comment ref="L469" authorId="0" shapeId="0">
      <text>
        <r>
          <rPr>
            <b/>
            <sz val="9"/>
            <color indexed="81"/>
            <rFont val="Tahoma"/>
            <family val="2"/>
          </rPr>
          <t>Author:</t>
        </r>
        <r>
          <rPr>
            <sz val="9"/>
            <color indexed="81"/>
            <rFont val="Tahoma"/>
            <family val="2"/>
          </rPr>
          <t xml:space="preserve">
Computers/Peripherals</t>
        </r>
      </text>
    </comment>
    <comment ref="M469" authorId="0" shapeId="0">
      <text>
        <r>
          <rPr>
            <b/>
            <sz val="9"/>
            <color indexed="81"/>
            <rFont val="Tahoma"/>
            <family val="2"/>
          </rPr>
          <t>Author:</t>
        </r>
        <r>
          <rPr>
            <sz val="9"/>
            <color indexed="81"/>
            <rFont val="Tahoma"/>
            <family val="2"/>
          </rPr>
          <t xml:space="preserve">
Computers/Peripherals</t>
        </r>
      </text>
    </comment>
    <comment ref="B470" authorId="0" shapeId="0">
      <text>
        <r>
          <rPr>
            <b/>
            <sz val="9"/>
            <color indexed="81"/>
            <rFont val="Tahoma"/>
            <family val="2"/>
          </rPr>
          <t>Author:</t>
        </r>
        <r>
          <rPr>
            <sz val="9"/>
            <color indexed="81"/>
            <rFont val="Tahoma"/>
            <family val="2"/>
          </rPr>
          <t xml:space="preserve">
Electronics (General)</t>
        </r>
      </text>
    </comment>
    <comment ref="C470" authorId="0" shapeId="0">
      <text>
        <r>
          <rPr>
            <b/>
            <sz val="9"/>
            <color indexed="81"/>
            <rFont val="Tahoma"/>
            <family val="2"/>
          </rPr>
          <t>Author:</t>
        </r>
        <r>
          <rPr>
            <sz val="9"/>
            <color indexed="81"/>
            <rFont val="Tahoma"/>
            <family val="2"/>
          </rPr>
          <t xml:space="preserve">
Electronics (General)</t>
        </r>
      </text>
    </comment>
    <comment ref="D470" authorId="0" shapeId="0">
      <text>
        <r>
          <rPr>
            <b/>
            <sz val="9"/>
            <color indexed="81"/>
            <rFont val="Tahoma"/>
            <family val="2"/>
          </rPr>
          <t>Author:</t>
        </r>
        <r>
          <rPr>
            <sz val="9"/>
            <color indexed="81"/>
            <rFont val="Tahoma"/>
            <family val="2"/>
          </rPr>
          <t xml:space="preserve">
Electronics (General)</t>
        </r>
      </text>
    </comment>
    <comment ref="E470" authorId="0" shapeId="0">
      <text>
        <r>
          <rPr>
            <b/>
            <sz val="9"/>
            <color indexed="81"/>
            <rFont val="Tahoma"/>
            <family val="2"/>
          </rPr>
          <t>Author:</t>
        </r>
        <r>
          <rPr>
            <sz val="9"/>
            <color indexed="81"/>
            <rFont val="Tahoma"/>
            <family val="2"/>
          </rPr>
          <t xml:space="preserve">
Electronics (General)</t>
        </r>
      </text>
    </comment>
    <comment ref="F470" authorId="0" shapeId="0">
      <text>
        <r>
          <rPr>
            <b/>
            <sz val="9"/>
            <color indexed="81"/>
            <rFont val="Tahoma"/>
            <family val="2"/>
          </rPr>
          <t>Author:</t>
        </r>
        <r>
          <rPr>
            <sz val="9"/>
            <color indexed="81"/>
            <rFont val="Tahoma"/>
            <family val="2"/>
          </rPr>
          <t xml:space="preserve">
Electronics (General)</t>
        </r>
      </text>
    </comment>
    <comment ref="G470" authorId="0" shapeId="0">
      <text>
        <r>
          <rPr>
            <b/>
            <sz val="9"/>
            <color indexed="81"/>
            <rFont val="Tahoma"/>
            <family val="2"/>
          </rPr>
          <t>Author:</t>
        </r>
        <r>
          <rPr>
            <sz val="9"/>
            <color indexed="81"/>
            <rFont val="Tahoma"/>
            <family val="2"/>
          </rPr>
          <t xml:space="preserve">
Electronics (General)</t>
        </r>
      </text>
    </comment>
    <comment ref="H470" authorId="0" shapeId="0">
      <text>
        <r>
          <rPr>
            <b/>
            <sz val="9"/>
            <color indexed="81"/>
            <rFont val="Tahoma"/>
            <family val="2"/>
          </rPr>
          <t>Author:</t>
        </r>
        <r>
          <rPr>
            <sz val="9"/>
            <color indexed="81"/>
            <rFont val="Tahoma"/>
            <family val="2"/>
          </rPr>
          <t xml:space="preserve">
Electronics (General)</t>
        </r>
      </text>
    </comment>
    <comment ref="I470" authorId="0" shapeId="0">
      <text>
        <r>
          <rPr>
            <b/>
            <sz val="9"/>
            <color indexed="81"/>
            <rFont val="Tahoma"/>
            <family val="2"/>
          </rPr>
          <t>Author:</t>
        </r>
        <r>
          <rPr>
            <sz val="9"/>
            <color indexed="81"/>
            <rFont val="Tahoma"/>
            <family val="2"/>
          </rPr>
          <t xml:space="preserve">
Electronics (General)</t>
        </r>
      </text>
    </comment>
    <comment ref="J470" authorId="0" shapeId="0">
      <text>
        <r>
          <rPr>
            <b/>
            <sz val="9"/>
            <color indexed="81"/>
            <rFont val="Tahoma"/>
            <family val="2"/>
          </rPr>
          <t>Author:</t>
        </r>
        <r>
          <rPr>
            <sz val="9"/>
            <color indexed="81"/>
            <rFont val="Tahoma"/>
            <family val="2"/>
          </rPr>
          <t xml:space="preserve">
Electronics (General)</t>
        </r>
      </text>
    </comment>
    <comment ref="K470" authorId="0" shapeId="0">
      <text>
        <r>
          <rPr>
            <b/>
            <sz val="9"/>
            <color indexed="81"/>
            <rFont val="Tahoma"/>
            <family val="2"/>
          </rPr>
          <t>Author:</t>
        </r>
        <r>
          <rPr>
            <sz val="9"/>
            <color indexed="81"/>
            <rFont val="Tahoma"/>
            <family val="2"/>
          </rPr>
          <t xml:space="preserve">
Electronics (General)</t>
        </r>
      </text>
    </comment>
    <comment ref="L470" authorId="0" shapeId="0">
      <text>
        <r>
          <rPr>
            <b/>
            <sz val="9"/>
            <color indexed="81"/>
            <rFont val="Tahoma"/>
            <family val="2"/>
          </rPr>
          <t>Author:</t>
        </r>
        <r>
          <rPr>
            <sz val="9"/>
            <color indexed="81"/>
            <rFont val="Tahoma"/>
            <family val="2"/>
          </rPr>
          <t xml:space="preserve">
Electronics (General)</t>
        </r>
      </text>
    </comment>
    <comment ref="M470" authorId="0" shapeId="0">
      <text>
        <r>
          <rPr>
            <b/>
            <sz val="9"/>
            <color indexed="81"/>
            <rFont val="Tahoma"/>
            <family val="2"/>
          </rPr>
          <t>Author:</t>
        </r>
        <r>
          <rPr>
            <sz val="9"/>
            <color indexed="81"/>
            <rFont val="Tahoma"/>
            <family val="2"/>
          </rPr>
          <t xml:space="preserve">
Electronics (General)</t>
        </r>
      </text>
    </comment>
    <comment ref="B471" authorId="0" shapeId="0">
      <text>
        <r>
          <rPr>
            <b/>
            <sz val="9"/>
            <color indexed="81"/>
            <rFont val="Tahoma"/>
            <family val="2"/>
          </rPr>
          <t>Author:</t>
        </r>
        <r>
          <rPr>
            <sz val="9"/>
            <color indexed="81"/>
            <rFont val="Tahoma"/>
            <family val="2"/>
          </rPr>
          <t xml:space="preserve">
Retail (Special Lines)</t>
        </r>
      </text>
    </comment>
    <comment ref="C471" authorId="0" shapeId="0">
      <text>
        <r>
          <rPr>
            <b/>
            <sz val="9"/>
            <color indexed="81"/>
            <rFont val="Tahoma"/>
            <family val="2"/>
          </rPr>
          <t>Author:</t>
        </r>
        <r>
          <rPr>
            <sz val="9"/>
            <color indexed="81"/>
            <rFont val="Tahoma"/>
            <family val="2"/>
          </rPr>
          <t xml:space="preserve">
Retail (Special Lines)</t>
        </r>
      </text>
    </comment>
    <comment ref="D471" authorId="0" shapeId="0">
      <text>
        <r>
          <rPr>
            <b/>
            <sz val="9"/>
            <color indexed="81"/>
            <rFont val="Tahoma"/>
            <family val="2"/>
          </rPr>
          <t>Author:</t>
        </r>
        <r>
          <rPr>
            <sz val="9"/>
            <color indexed="81"/>
            <rFont val="Tahoma"/>
            <family val="2"/>
          </rPr>
          <t xml:space="preserve">
Retail (Special Lines)</t>
        </r>
      </text>
    </comment>
    <comment ref="E471" authorId="0" shapeId="0">
      <text>
        <r>
          <rPr>
            <b/>
            <sz val="9"/>
            <color indexed="81"/>
            <rFont val="Tahoma"/>
            <family val="2"/>
          </rPr>
          <t>Author:</t>
        </r>
        <r>
          <rPr>
            <sz val="9"/>
            <color indexed="81"/>
            <rFont val="Tahoma"/>
            <family val="2"/>
          </rPr>
          <t xml:space="preserve">
Retail (Special Lines)</t>
        </r>
      </text>
    </comment>
    <comment ref="F471" authorId="0" shapeId="0">
      <text>
        <r>
          <rPr>
            <b/>
            <sz val="9"/>
            <color indexed="81"/>
            <rFont val="Tahoma"/>
            <family val="2"/>
          </rPr>
          <t>Author:</t>
        </r>
        <r>
          <rPr>
            <sz val="9"/>
            <color indexed="81"/>
            <rFont val="Tahoma"/>
            <family val="2"/>
          </rPr>
          <t xml:space="preserve">
Retail (Special Lines)</t>
        </r>
      </text>
    </comment>
    <comment ref="G471" authorId="0" shapeId="0">
      <text>
        <r>
          <rPr>
            <b/>
            <sz val="9"/>
            <color indexed="81"/>
            <rFont val="Tahoma"/>
            <family val="2"/>
          </rPr>
          <t>Author:</t>
        </r>
        <r>
          <rPr>
            <sz val="9"/>
            <color indexed="81"/>
            <rFont val="Tahoma"/>
            <family val="2"/>
          </rPr>
          <t xml:space="preserve">
Retail (Special Lines)</t>
        </r>
      </text>
    </comment>
    <comment ref="H471" authorId="0" shapeId="0">
      <text>
        <r>
          <rPr>
            <b/>
            <sz val="9"/>
            <color indexed="81"/>
            <rFont val="Tahoma"/>
            <family val="2"/>
          </rPr>
          <t>Author:</t>
        </r>
        <r>
          <rPr>
            <sz val="9"/>
            <color indexed="81"/>
            <rFont val="Tahoma"/>
            <family val="2"/>
          </rPr>
          <t xml:space="preserve">
Retail (Special Lines)</t>
        </r>
      </text>
    </comment>
    <comment ref="I471" authorId="0" shapeId="0">
      <text>
        <r>
          <rPr>
            <b/>
            <sz val="9"/>
            <color indexed="81"/>
            <rFont val="Tahoma"/>
            <family val="2"/>
          </rPr>
          <t>Author:</t>
        </r>
        <r>
          <rPr>
            <sz val="9"/>
            <color indexed="81"/>
            <rFont val="Tahoma"/>
            <family val="2"/>
          </rPr>
          <t xml:space="preserve">
Retail (Special Lines)</t>
        </r>
      </text>
    </comment>
    <comment ref="J471" authorId="0" shapeId="0">
      <text>
        <r>
          <rPr>
            <b/>
            <sz val="9"/>
            <color indexed="81"/>
            <rFont val="Tahoma"/>
            <family val="2"/>
          </rPr>
          <t>Author:</t>
        </r>
        <r>
          <rPr>
            <sz val="9"/>
            <color indexed="81"/>
            <rFont val="Tahoma"/>
            <family val="2"/>
          </rPr>
          <t xml:space="preserve">
Retail (Special Lines)</t>
        </r>
      </text>
    </comment>
    <comment ref="K471" authorId="0" shapeId="0">
      <text>
        <r>
          <rPr>
            <b/>
            <sz val="9"/>
            <color indexed="81"/>
            <rFont val="Tahoma"/>
            <family val="2"/>
          </rPr>
          <t>Author:</t>
        </r>
        <r>
          <rPr>
            <sz val="9"/>
            <color indexed="81"/>
            <rFont val="Tahoma"/>
            <family val="2"/>
          </rPr>
          <t xml:space="preserve">
Retail (Special Lines)</t>
        </r>
      </text>
    </comment>
    <comment ref="L471" authorId="0" shapeId="0">
      <text>
        <r>
          <rPr>
            <b/>
            <sz val="9"/>
            <color indexed="81"/>
            <rFont val="Tahoma"/>
            <family val="2"/>
          </rPr>
          <t>Author:</t>
        </r>
        <r>
          <rPr>
            <sz val="9"/>
            <color indexed="81"/>
            <rFont val="Tahoma"/>
            <family val="2"/>
          </rPr>
          <t xml:space="preserve">
Retail (Special Lines)</t>
        </r>
      </text>
    </comment>
    <comment ref="M471" authorId="0" shapeId="0">
      <text>
        <r>
          <rPr>
            <b/>
            <sz val="9"/>
            <color indexed="81"/>
            <rFont val="Tahoma"/>
            <family val="2"/>
          </rPr>
          <t>Author:</t>
        </r>
        <r>
          <rPr>
            <sz val="9"/>
            <color indexed="81"/>
            <rFont val="Tahoma"/>
            <family val="2"/>
          </rPr>
          <t xml:space="preserve">
Retail (Special Lines)</t>
        </r>
      </text>
    </comment>
    <comment ref="B481" authorId="0" shapeId="0">
      <text>
        <r>
          <rPr>
            <b/>
            <sz val="9"/>
            <color indexed="81"/>
            <rFont val="Tahoma"/>
            <family val="2"/>
          </rPr>
          <t>Author:</t>
        </r>
        <r>
          <rPr>
            <sz val="9"/>
            <color indexed="81"/>
            <rFont val="Tahoma"/>
            <family val="2"/>
          </rPr>
          <t xml:space="preserve">
Computers/Peripherals</t>
        </r>
      </text>
    </comment>
    <comment ref="C481" authorId="0" shapeId="0">
      <text>
        <r>
          <rPr>
            <b/>
            <sz val="9"/>
            <color indexed="81"/>
            <rFont val="Tahoma"/>
            <family val="2"/>
          </rPr>
          <t>Author:</t>
        </r>
        <r>
          <rPr>
            <sz val="9"/>
            <color indexed="81"/>
            <rFont val="Tahoma"/>
            <family val="2"/>
          </rPr>
          <t xml:space="preserve">
Computers/Peripherals</t>
        </r>
      </text>
    </comment>
    <comment ref="D481" authorId="0" shapeId="0">
      <text>
        <r>
          <rPr>
            <b/>
            <sz val="9"/>
            <color indexed="81"/>
            <rFont val="Tahoma"/>
            <family val="2"/>
          </rPr>
          <t>Author:</t>
        </r>
        <r>
          <rPr>
            <sz val="9"/>
            <color indexed="81"/>
            <rFont val="Tahoma"/>
            <family val="2"/>
          </rPr>
          <t xml:space="preserve">
Computers/Peripherals</t>
        </r>
      </text>
    </comment>
    <comment ref="E481" authorId="0" shapeId="0">
      <text>
        <r>
          <rPr>
            <b/>
            <sz val="9"/>
            <color indexed="81"/>
            <rFont val="Tahoma"/>
            <family val="2"/>
          </rPr>
          <t>Author:</t>
        </r>
        <r>
          <rPr>
            <sz val="9"/>
            <color indexed="81"/>
            <rFont val="Tahoma"/>
            <family val="2"/>
          </rPr>
          <t xml:space="preserve">
Computers/Peripherals</t>
        </r>
      </text>
    </comment>
    <comment ref="F481" authorId="0" shapeId="0">
      <text>
        <r>
          <rPr>
            <b/>
            <sz val="9"/>
            <color indexed="81"/>
            <rFont val="Tahoma"/>
            <family val="2"/>
          </rPr>
          <t>Author:</t>
        </r>
        <r>
          <rPr>
            <sz val="9"/>
            <color indexed="81"/>
            <rFont val="Tahoma"/>
            <family val="2"/>
          </rPr>
          <t xml:space="preserve">
Computers/Peripherals</t>
        </r>
      </text>
    </comment>
    <comment ref="G481" authorId="0" shapeId="0">
      <text>
        <r>
          <rPr>
            <b/>
            <sz val="9"/>
            <color indexed="81"/>
            <rFont val="Tahoma"/>
            <family val="2"/>
          </rPr>
          <t>Author:</t>
        </r>
        <r>
          <rPr>
            <sz val="9"/>
            <color indexed="81"/>
            <rFont val="Tahoma"/>
            <family val="2"/>
          </rPr>
          <t xml:space="preserve">
Computers/Peripherals</t>
        </r>
      </text>
    </comment>
    <comment ref="H481" authorId="0" shapeId="0">
      <text>
        <r>
          <rPr>
            <b/>
            <sz val="9"/>
            <color indexed="81"/>
            <rFont val="Tahoma"/>
            <family val="2"/>
          </rPr>
          <t>Author:</t>
        </r>
        <r>
          <rPr>
            <sz val="9"/>
            <color indexed="81"/>
            <rFont val="Tahoma"/>
            <family val="2"/>
          </rPr>
          <t xml:space="preserve">
Computers/Peripherals</t>
        </r>
      </text>
    </comment>
    <comment ref="I481" authorId="0" shapeId="0">
      <text>
        <r>
          <rPr>
            <b/>
            <sz val="9"/>
            <color indexed="81"/>
            <rFont val="Tahoma"/>
            <family val="2"/>
          </rPr>
          <t>Author:</t>
        </r>
        <r>
          <rPr>
            <sz val="9"/>
            <color indexed="81"/>
            <rFont val="Tahoma"/>
            <family val="2"/>
          </rPr>
          <t xml:space="preserve">
Computers/Peripherals</t>
        </r>
      </text>
    </comment>
    <comment ref="J481" authorId="0" shapeId="0">
      <text>
        <r>
          <rPr>
            <b/>
            <sz val="9"/>
            <color indexed="81"/>
            <rFont val="Tahoma"/>
            <family val="2"/>
          </rPr>
          <t>Author:</t>
        </r>
        <r>
          <rPr>
            <sz val="9"/>
            <color indexed="81"/>
            <rFont val="Tahoma"/>
            <family val="2"/>
          </rPr>
          <t xml:space="preserve">
Computers/Peripherals</t>
        </r>
      </text>
    </comment>
    <comment ref="K481" authorId="0" shapeId="0">
      <text>
        <r>
          <rPr>
            <b/>
            <sz val="9"/>
            <color indexed="81"/>
            <rFont val="Tahoma"/>
            <family val="2"/>
          </rPr>
          <t>Author:</t>
        </r>
        <r>
          <rPr>
            <sz val="9"/>
            <color indexed="81"/>
            <rFont val="Tahoma"/>
            <family val="2"/>
          </rPr>
          <t xml:space="preserve">
Computers/Peripherals</t>
        </r>
      </text>
    </comment>
    <comment ref="L481" authorId="0" shapeId="0">
      <text>
        <r>
          <rPr>
            <b/>
            <sz val="9"/>
            <color indexed="81"/>
            <rFont val="Tahoma"/>
            <family val="2"/>
          </rPr>
          <t>Author:</t>
        </r>
        <r>
          <rPr>
            <sz val="9"/>
            <color indexed="81"/>
            <rFont val="Tahoma"/>
            <family val="2"/>
          </rPr>
          <t xml:space="preserve">
Computers/Peripherals</t>
        </r>
      </text>
    </comment>
    <comment ref="M481" authorId="0" shapeId="0">
      <text>
        <r>
          <rPr>
            <b/>
            <sz val="9"/>
            <color indexed="81"/>
            <rFont val="Tahoma"/>
            <family val="2"/>
          </rPr>
          <t>Author:</t>
        </r>
        <r>
          <rPr>
            <sz val="9"/>
            <color indexed="81"/>
            <rFont val="Tahoma"/>
            <family val="2"/>
          </rPr>
          <t xml:space="preserve">
Computers/Peripherals</t>
        </r>
      </text>
    </comment>
    <comment ref="B482" authorId="0" shapeId="0">
      <text>
        <r>
          <rPr>
            <b/>
            <sz val="9"/>
            <color indexed="81"/>
            <rFont val="Tahoma"/>
            <family val="2"/>
          </rPr>
          <t>Author:</t>
        </r>
        <r>
          <rPr>
            <sz val="9"/>
            <color indexed="81"/>
            <rFont val="Tahoma"/>
            <family val="2"/>
          </rPr>
          <t xml:space="preserve">
Electronics (General)</t>
        </r>
      </text>
    </comment>
    <comment ref="C482" authorId="0" shapeId="0">
      <text>
        <r>
          <rPr>
            <b/>
            <sz val="9"/>
            <color indexed="81"/>
            <rFont val="Tahoma"/>
            <family val="2"/>
          </rPr>
          <t>Author:</t>
        </r>
        <r>
          <rPr>
            <sz val="9"/>
            <color indexed="81"/>
            <rFont val="Tahoma"/>
            <family val="2"/>
          </rPr>
          <t xml:space="preserve">
Electronics (General)</t>
        </r>
      </text>
    </comment>
    <comment ref="D482" authorId="0" shapeId="0">
      <text>
        <r>
          <rPr>
            <b/>
            <sz val="9"/>
            <color indexed="81"/>
            <rFont val="Tahoma"/>
            <family val="2"/>
          </rPr>
          <t>Author:</t>
        </r>
        <r>
          <rPr>
            <sz val="9"/>
            <color indexed="81"/>
            <rFont val="Tahoma"/>
            <family val="2"/>
          </rPr>
          <t xml:space="preserve">
Electronics (General)</t>
        </r>
      </text>
    </comment>
    <comment ref="E482" authorId="0" shapeId="0">
      <text>
        <r>
          <rPr>
            <b/>
            <sz val="9"/>
            <color indexed="81"/>
            <rFont val="Tahoma"/>
            <family val="2"/>
          </rPr>
          <t>Author:</t>
        </r>
        <r>
          <rPr>
            <sz val="9"/>
            <color indexed="81"/>
            <rFont val="Tahoma"/>
            <family val="2"/>
          </rPr>
          <t xml:space="preserve">
Electronics (General)</t>
        </r>
      </text>
    </comment>
    <comment ref="F482" authorId="0" shapeId="0">
      <text>
        <r>
          <rPr>
            <b/>
            <sz val="9"/>
            <color indexed="81"/>
            <rFont val="Tahoma"/>
            <family val="2"/>
          </rPr>
          <t>Author:</t>
        </r>
        <r>
          <rPr>
            <sz val="9"/>
            <color indexed="81"/>
            <rFont val="Tahoma"/>
            <family val="2"/>
          </rPr>
          <t xml:space="preserve">
Electronics (General)</t>
        </r>
      </text>
    </comment>
    <comment ref="G482" authorId="0" shapeId="0">
      <text>
        <r>
          <rPr>
            <b/>
            <sz val="9"/>
            <color indexed="81"/>
            <rFont val="Tahoma"/>
            <family val="2"/>
          </rPr>
          <t>Author:</t>
        </r>
        <r>
          <rPr>
            <sz val="9"/>
            <color indexed="81"/>
            <rFont val="Tahoma"/>
            <family val="2"/>
          </rPr>
          <t xml:space="preserve">
Electronics (General)</t>
        </r>
      </text>
    </comment>
    <comment ref="H482" authorId="0" shapeId="0">
      <text>
        <r>
          <rPr>
            <b/>
            <sz val="9"/>
            <color indexed="81"/>
            <rFont val="Tahoma"/>
            <family val="2"/>
          </rPr>
          <t>Author:</t>
        </r>
        <r>
          <rPr>
            <sz val="9"/>
            <color indexed="81"/>
            <rFont val="Tahoma"/>
            <family val="2"/>
          </rPr>
          <t xml:space="preserve">
Electronics (General)</t>
        </r>
      </text>
    </comment>
    <comment ref="I482" authorId="0" shapeId="0">
      <text>
        <r>
          <rPr>
            <b/>
            <sz val="9"/>
            <color indexed="81"/>
            <rFont val="Tahoma"/>
            <family val="2"/>
          </rPr>
          <t>Author:</t>
        </r>
        <r>
          <rPr>
            <sz val="9"/>
            <color indexed="81"/>
            <rFont val="Tahoma"/>
            <family val="2"/>
          </rPr>
          <t xml:space="preserve">
Electronics (General)</t>
        </r>
      </text>
    </comment>
    <comment ref="J482" authorId="0" shapeId="0">
      <text>
        <r>
          <rPr>
            <b/>
            <sz val="9"/>
            <color indexed="81"/>
            <rFont val="Tahoma"/>
            <family val="2"/>
          </rPr>
          <t>Author:</t>
        </r>
        <r>
          <rPr>
            <sz val="9"/>
            <color indexed="81"/>
            <rFont val="Tahoma"/>
            <family val="2"/>
          </rPr>
          <t xml:space="preserve">
Electronics (General)</t>
        </r>
      </text>
    </comment>
    <comment ref="K482" authorId="0" shapeId="0">
      <text>
        <r>
          <rPr>
            <b/>
            <sz val="9"/>
            <color indexed="81"/>
            <rFont val="Tahoma"/>
            <family val="2"/>
          </rPr>
          <t>Author:</t>
        </r>
        <r>
          <rPr>
            <sz val="9"/>
            <color indexed="81"/>
            <rFont val="Tahoma"/>
            <family val="2"/>
          </rPr>
          <t xml:space="preserve">
Electronics (General)</t>
        </r>
      </text>
    </comment>
    <comment ref="L482" authorId="0" shapeId="0">
      <text>
        <r>
          <rPr>
            <b/>
            <sz val="9"/>
            <color indexed="81"/>
            <rFont val="Tahoma"/>
            <family val="2"/>
          </rPr>
          <t>Author:</t>
        </r>
        <r>
          <rPr>
            <sz val="9"/>
            <color indexed="81"/>
            <rFont val="Tahoma"/>
            <family val="2"/>
          </rPr>
          <t xml:space="preserve">
Electronics (General)</t>
        </r>
      </text>
    </comment>
    <comment ref="M482" authorId="0" shapeId="0">
      <text>
        <r>
          <rPr>
            <b/>
            <sz val="9"/>
            <color indexed="81"/>
            <rFont val="Tahoma"/>
            <family val="2"/>
          </rPr>
          <t>Author:</t>
        </r>
        <r>
          <rPr>
            <sz val="9"/>
            <color indexed="81"/>
            <rFont val="Tahoma"/>
            <family val="2"/>
          </rPr>
          <t xml:space="preserve">
Electronics (General)</t>
        </r>
      </text>
    </comment>
    <comment ref="B483" authorId="0" shapeId="0">
      <text>
        <r>
          <rPr>
            <b/>
            <sz val="9"/>
            <color indexed="81"/>
            <rFont val="Tahoma"/>
            <family val="2"/>
          </rPr>
          <t>Author:</t>
        </r>
        <r>
          <rPr>
            <sz val="9"/>
            <color indexed="81"/>
            <rFont val="Tahoma"/>
            <family val="2"/>
          </rPr>
          <t xml:space="preserve">
Retail (Special Lines)</t>
        </r>
      </text>
    </comment>
    <comment ref="C483" authorId="0" shapeId="0">
      <text>
        <r>
          <rPr>
            <b/>
            <sz val="9"/>
            <color indexed="81"/>
            <rFont val="Tahoma"/>
            <family val="2"/>
          </rPr>
          <t>Author:</t>
        </r>
        <r>
          <rPr>
            <sz val="9"/>
            <color indexed="81"/>
            <rFont val="Tahoma"/>
            <family val="2"/>
          </rPr>
          <t xml:space="preserve">
Retail (Special Lines)</t>
        </r>
      </text>
    </comment>
    <comment ref="D483" authorId="0" shapeId="0">
      <text>
        <r>
          <rPr>
            <b/>
            <sz val="9"/>
            <color indexed="81"/>
            <rFont val="Tahoma"/>
            <family val="2"/>
          </rPr>
          <t>Author:</t>
        </r>
        <r>
          <rPr>
            <sz val="9"/>
            <color indexed="81"/>
            <rFont val="Tahoma"/>
            <family val="2"/>
          </rPr>
          <t xml:space="preserve">
Retail (Special Lines)</t>
        </r>
      </text>
    </comment>
    <comment ref="E483" authorId="0" shapeId="0">
      <text>
        <r>
          <rPr>
            <b/>
            <sz val="9"/>
            <color indexed="81"/>
            <rFont val="Tahoma"/>
            <family val="2"/>
          </rPr>
          <t>Author:</t>
        </r>
        <r>
          <rPr>
            <sz val="9"/>
            <color indexed="81"/>
            <rFont val="Tahoma"/>
            <family val="2"/>
          </rPr>
          <t xml:space="preserve">
Retail (Special Lines)</t>
        </r>
      </text>
    </comment>
    <comment ref="F483" authorId="0" shapeId="0">
      <text>
        <r>
          <rPr>
            <b/>
            <sz val="9"/>
            <color indexed="81"/>
            <rFont val="Tahoma"/>
            <family val="2"/>
          </rPr>
          <t>Author:</t>
        </r>
        <r>
          <rPr>
            <sz val="9"/>
            <color indexed="81"/>
            <rFont val="Tahoma"/>
            <family val="2"/>
          </rPr>
          <t xml:space="preserve">
Retail (Special Lines)</t>
        </r>
      </text>
    </comment>
    <comment ref="G483" authorId="0" shapeId="0">
      <text>
        <r>
          <rPr>
            <b/>
            <sz val="9"/>
            <color indexed="81"/>
            <rFont val="Tahoma"/>
            <family val="2"/>
          </rPr>
          <t>Author:</t>
        </r>
        <r>
          <rPr>
            <sz val="9"/>
            <color indexed="81"/>
            <rFont val="Tahoma"/>
            <family val="2"/>
          </rPr>
          <t xml:space="preserve">
Retail (Special Lines)</t>
        </r>
      </text>
    </comment>
    <comment ref="H483" authorId="0" shapeId="0">
      <text>
        <r>
          <rPr>
            <b/>
            <sz val="9"/>
            <color indexed="81"/>
            <rFont val="Tahoma"/>
            <family val="2"/>
          </rPr>
          <t>Author:</t>
        </r>
        <r>
          <rPr>
            <sz val="9"/>
            <color indexed="81"/>
            <rFont val="Tahoma"/>
            <family val="2"/>
          </rPr>
          <t xml:space="preserve">
Retail (Special Lines)</t>
        </r>
      </text>
    </comment>
    <comment ref="I483" authorId="0" shapeId="0">
      <text>
        <r>
          <rPr>
            <b/>
            <sz val="9"/>
            <color indexed="81"/>
            <rFont val="Tahoma"/>
            <family val="2"/>
          </rPr>
          <t>Author:</t>
        </r>
        <r>
          <rPr>
            <sz val="9"/>
            <color indexed="81"/>
            <rFont val="Tahoma"/>
            <family val="2"/>
          </rPr>
          <t xml:space="preserve">
Retail (Special Lines)</t>
        </r>
      </text>
    </comment>
    <comment ref="J483" authorId="0" shapeId="0">
      <text>
        <r>
          <rPr>
            <b/>
            <sz val="9"/>
            <color indexed="81"/>
            <rFont val="Tahoma"/>
            <family val="2"/>
          </rPr>
          <t>Author:</t>
        </r>
        <r>
          <rPr>
            <sz val="9"/>
            <color indexed="81"/>
            <rFont val="Tahoma"/>
            <family val="2"/>
          </rPr>
          <t xml:space="preserve">
Retail (Special Lines)</t>
        </r>
      </text>
    </comment>
    <comment ref="K483" authorId="0" shapeId="0">
      <text>
        <r>
          <rPr>
            <b/>
            <sz val="9"/>
            <color indexed="81"/>
            <rFont val="Tahoma"/>
            <family val="2"/>
          </rPr>
          <t>Author:</t>
        </r>
        <r>
          <rPr>
            <sz val="9"/>
            <color indexed="81"/>
            <rFont val="Tahoma"/>
            <family val="2"/>
          </rPr>
          <t xml:space="preserve">
Retail (Special Lines)</t>
        </r>
      </text>
    </comment>
    <comment ref="L483" authorId="0" shapeId="0">
      <text>
        <r>
          <rPr>
            <b/>
            <sz val="9"/>
            <color indexed="81"/>
            <rFont val="Tahoma"/>
            <family val="2"/>
          </rPr>
          <t>Author:</t>
        </r>
        <r>
          <rPr>
            <sz val="9"/>
            <color indexed="81"/>
            <rFont val="Tahoma"/>
            <family val="2"/>
          </rPr>
          <t xml:space="preserve">
Retail (Special Lines)</t>
        </r>
      </text>
    </comment>
    <comment ref="M483" authorId="0" shapeId="0">
      <text>
        <r>
          <rPr>
            <b/>
            <sz val="9"/>
            <color indexed="81"/>
            <rFont val="Tahoma"/>
            <family val="2"/>
          </rPr>
          <t>Author:</t>
        </r>
        <r>
          <rPr>
            <sz val="9"/>
            <color indexed="81"/>
            <rFont val="Tahoma"/>
            <family val="2"/>
          </rPr>
          <t xml:space="preserve">
Retail (Special Lines)</t>
        </r>
      </text>
    </comment>
    <comment ref="B495" authorId="0" shapeId="0">
      <text>
        <r>
          <rPr>
            <b/>
            <sz val="9"/>
            <color indexed="81"/>
            <rFont val="Tahoma"/>
            <family val="2"/>
          </rPr>
          <t>Author:</t>
        </r>
        <r>
          <rPr>
            <sz val="9"/>
            <color indexed="81"/>
            <rFont val="Tahoma"/>
            <family val="2"/>
          </rPr>
          <t xml:space="preserve">
Africa</t>
        </r>
      </text>
    </comment>
    <comment ref="B496" authorId="0" shapeId="0">
      <text>
        <r>
          <rPr>
            <b/>
            <sz val="9"/>
            <color indexed="81"/>
            <rFont val="Tahoma"/>
            <family val="2"/>
          </rPr>
          <t>Author:</t>
        </r>
        <r>
          <rPr>
            <sz val="9"/>
            <color indexed="81"/>
            <rFont val="Tahoma"/>
            <family val="2"/>
          </rPr>
          <t xml:space="preserve">
Asia</t>
        </r>
      </text>
    </comment>
    <comment ref="B497" authorId="0" shapeId="0">
      <text>
        <r>
          <rPr>
            <b/>
            <sz val="9"/>
            <color indexed="81"/>
            <rFont val="Tahoma"/>
            <family val="2"/>
          </rPr>
          <t>Author:</t>
        </r>
        <r>
          <rPr>
            <sz val="9"/>
            <color indexed="81"/>
            <rFont val="Tahoma"/>
            <family val="2"/>
          </rPr>
          <t xml:space="preserve">
Australia &amp; New Zealand</t>
        </r>
      </text>
    </comment>
    <comment ref="B498" authorId="0" shapeId="0">
      <text>
        <r>
          <rPr>
            <b/>
            <sz val="9"/>
            <color indexed="81"/>
            <rFont val="Tahoma"/>
            <family val="2"/>
          </rPr>
          <t>Author:</t>
        </r>
        <r>
          <rPr>
            <sz val="9"/>
            <color indexed="81"/>
            <rFont val="Tahoma"/>
            <family val="2"/>
          </rPr>
          <t xml:space="preserve">
Caribbean</t>
        </r>
      </text>
    </comment>
    <comment ref="B499" authorId="0" shapeId="0">
      <text>
        <r>
          <rPr>
            <b/>
            <sz val="9"/>
            <color indexed="81"/>
            <rFont val="Tahoma"/>
            <family val="2"/>
          </rPr>
          <t>Author:</t>
        </r>
        <r>
          <rPr>
            <sz val="9"/>
            <color indexed="81"/>
            <rFont val="Tahoma"/>
            <family val="2"/>
          </rPr>
          <t xml:space="preserve">
Central and South America</t>
        </r>
      </text>
    </comment>
    <comment ref="B500" authorId="0" shapeId="0">
      <text>
        <r>
          <rPr>
            <b/>
            <sz val="9"/>
            <color indexed="81"/>
            <rFont val="Tahoma"/>
            <family val="2"/>
          </rPr>
          <t>Author:</t>
        </r>
        <r>
          <rPr>
            <sz val="9"/>
            <color indexed="81"/>
            <rFont val="Tahoma"/>
            <family val="2"/>
          </rPr>
          <t xml:space="preserve">
Eastern Europe &amp; Russia</t>
        </r>
      </text>
    </comment>
    <comment ref="B501" authorId="0" shapeId="0">
      <text>
        <r>
          <rPr>
            <b/>
            <sz val="9"/>
            <color indexed="81"/>
            <rFont val="Tahoma"/>
            <family val="2"/>
          </rPr>
          <t>Author:</t>
        </r>
        <r>
          <rPr>
            <sz val="9"/>
            <color indexed="81"/>
            <rFont val="Tahoma"/>
            <family val="2"/>
          </rPr>
          <t xml:space="preserve">
Middle East</t>
        </r>
      </text>
    </comment>
    <comment ref="B502" authorId="0" shapeId="0">
      <text>
        <r>
          <rPr>
            <b/>
            <sz val="9"/>
            <color indexed="81"/>
            <rFont val="Tahoma"/>
            <family val="2"/>
          </rPr>
          <t>Author:</t>
        </r>
        <r>
          <rPr>
            <sz val="9"/>
            <color indexed="81"/>
            <rFont val="Tahoma"/>
            <family val="2"/>
          </rPr>
          <t xml:space="preserve">
North America</t>
        </r>
      </text>
    </comment>
    <comment ref="B503" authorId="0" shapeId="0">
      <text>
        <r>
          <rPr>
            <b/>
            <sz val="9"/>
            <color indexed="81"/>
            <rFont val="Tahoma"/>
            <family val="2"/>
          </rPr>
          <t>Author:</t>
        </r>
        <r>
          <rPr>
            <sz val="9"/>
            <color indexed="81"/>
            <rFont val="Tahoma"/>
            <family val="2"/>
          </rPr>
          <t xml:space="preserve">
Western Europe</t>
        </r>
      </text>
    </comment>
    <comment ref="B507" authorId="0" shapeId="0">
      <text>
        <r>
          <rPr>
            <b/>
            <sz val="9"/>
            <color indexed="81"/>
            <rFont val="Tahoma"/>
            <family val="2"/>
          </rPr>
          <t>Author:</t>
        </r>
        <r>
          <rPr>
            <sz val="9"/>
            <color indexed="81"/>
            <rFont val="Tahoma"/>
            <family val="2"/>
          </rPr>
          <t xml:space="preserve">
Africa</t>
        </r>
      </text>
    </comment>
    <comment ref="B508" authorId="0" shapeId="0">
      <text>
        <r>
          <rPr>
            <b/>
            <sz val="9"/>
            <color indexed="81"/>
            <rFont val="Tahoma"/>
            <family val="2"/>
          </rPr>
          <t>Author:</t>
        </r>
        <r>
          <rPr>
            <sz val="9"/>
            <color indexed="81"/>
            <rFont val="Tahoma"/>
            <family val="2"/>
          </rPr>
          <t xml:space="preserve">
Asia</t>
        </r>
      </text>
    </comment>
    <comment ref="B509" authorId="0" shapeId="0">
      <text>
        <r>
          <rPr>
            <b/>
            <sz val="9"/>
            <color indexed="81"/>
            <rFont val="Tahoma"/>
            <family val="2"/>
          </rPr>
          <t>Author:</t>
        </r>
        <r>
          <rPr>
            <sz val="9"/>
            <color indexed="81"/>
            <rFont val="Tahoma"/>
            <family val="2"/>
          </rPr>
          <t xml:space="preserve">
Australia &amp; New Zealand</t>
        </r>
      </text>
    </comment>
    <comment ref="B510" authorId="0" shapeId="0">
      <text>
        <r>
          <rPr>
            <b/>
            <sz val="9"/>
            <color indexed="81"/>
            <rFont val="Tahoma"/>
            <family val="2"/>
          </rPr>
          <t>Author:</t>
        </r>
        <r>
          <rPr>
            <sz val="9"/>
            <color indexed="81"/>
            <rFont val="Tahoma"/>
            <family val="2"/>
          </rPr>
          <t xml:space="preserve">
Caribbean</t>
        </r>
      </text>
    </comment>
    <comment ref="B511" authorId="0" shapeId="0">
      <text>
        <r>
          <rPr>
            <b/>
            <sz val="9"/>
            <color indexed="81"/>
            <rFont val="Tahoma"/>
            <family val="2"/>
          </rPr>
          <t>Author:</t>
        </r>
        <r>
          <rPr>
            <sz val="9"/>
            <color indexed="81"/>
            <rFont val="Tahoma"/>
            <family val="2"/>
          </rPr>
          <t xml:space="preserve">
Central and South America</t>
        </r>
      </text>
    </comment>
    <comment ref="B512" authorId="0" shapeId="0">
      <text>
        <r>
          <rPr>
            <b/>
            <sz val="9"/>
            <color indexed="81"/>
            <rFont val="Tahoma"/>
            <family val="2"/>
          </rPr>
          <t>Author:</t>
        </r>
        <r>
          <rPr>
            <sz val="9"/>
            <color indexed="81"/>
            <rFont val="Tahoma"/>
            <family val="2"/>
          </rPr>
          <t xml:space="preserve">
Eastern Europe &amp; Russia</t>
        </r>
      </text>
    </comment>
    <comment ref="B513" authorId="0" shapeId="0">
      <text>
        <r>
          <rPr>
            <b/>
            <sz val="9"/>
            <color indexed="81"/>
            <rFont val="Tahoma"/>
            <family val="2"/>
          </rPr>
          <t>Author:</t>
        </r>
        <r>
          <rPr>
            <sz val="9"/>
            <color indexed="81"/>
            <rFont val="Tahoma"/>
            <family val="2"/>
          </rPr>
          <t xml:space="preserve">
Middle East</t>
        </r>
      </text>
    </comment>
    <comment ref="B514" authorId="0" shapeId="0">
      <text>
        <r>
          <rPr>
            <b/>
            <sz val="9"/>
            <color indexed="81"/>
            <rFont val="Tahoma"/>
            <family val="2"/>
          </rPr>
          <t>Author:</t>
        </r>
        <r>
          <rPr>
            <sz val="9"/>
            <color indexed="81"/>
            <rFont val="Tahoma"/>
            <family val="2"/>
          </rPr>
          <t xml:space="preserve">
North America</t>
        </r>
      </text>
    </comment>
    <comment ref="B515" authorId="0" shapeId="0">
      <text>
        <r>
          <rPr>
            <b/>
            <sz val="9"/>
            <color indexed="81"/>
            <rFont val="Tahoma"/>
            <family val="2"/>
          </rPr>
          <t>Author:</t>
        </r>
        <r>
          <rPr>
            <sz val="9"/>
            <color indexed="81"/>
            <rFont val="Tahoma"/>
            <family val="2"/>
          </rPr>
          <t xml:space="preserve">
Western Europe</t>
        </r>
      </text>
    </comment>
    <comment ref="B519" authorId="0" shapeId="0">
      <text>
        <r>
          <rPr>
            <b/>
            <sz val="9"/>
            <color indexed="81"/>
            <rFont val="Tahoma"/>
            <family val="2"/>
          </rPr>
          <t>Author:</t>
        </r>
        <r>
          <rPr>
            <sz val="9"/>
            <color indexed="81"/>
            <rFont val="Tahoma"/>
            <family val="2"/>
          </rPr>
          <t xml:space="preserve">
Africa</t>
        </r>
      </text>
    </comment>
    <comment ref="B520" authorId="0" shapeId="0">
      <text>
        <r>
          <rPr>
            <b/>
            <sz val="9"/>
            <color indexed="81"/>
            <rFont val="Tahoma"/>
            <family val="2"/>
          </rPr>
          <t>Author:</t>
        </r>
        <r>
          <rPr>
            <sz val="9"/>
            <color indexed="81"/>
            <rFont val="Tahoma"/>
            <family val="2"/>
          </rPr>
          <t xml:space="preserve">
Asia</t>
        </r>
      </text>
    </comment>
    <comment ref="B521" authorId="0" shapeId="0">
      <text>
        <r>
          <rPr>
            <b/>
            <sz val="9"/>
            <color indexed="81"/>
            <rFont val="Tahoma"/>
            <family val="2"/>
          </rPr>
          <t>Author:</t>
        </r>
        <r>
          <rPr>
            <sz val="9"/>
            <color indexed="81"/>
            <rFont val="Tahoma"/>
            <family val="2"/>
          </rPr>
          <t xml:space="preserve">
Australia &amp; New Zealand</t>
        </r>
      </text>
    </comment>
    <comment ref="B522" authorId="0" shapeId="0">
      <text>
        <r>
          <rPr>
            <b/>
            <sz val="9"/>
            <color indexed="81"/>
            <rFont val="Tahoma"/>
            <family val="2"/>
          </rPr>
          <t>Author:</t>
        </r>
        <r>
          <rPr>
            <sz val="9"/>
            <color indexed="81"/>
            <rFont val="Tahoma"/>
            <family val="2"/>
          </rPr>
          <t xml:space="preserve">
Caribbean</t>
        </r>
      </text>
    </comment>
    <comment ref="B523" authorId="0" shapeId="0">
      <text>
        <r>
          <rPr>
            <b/>
            <sz val="9"/>
            <color indexed="81"/>
            <rFont val="Tahoma"/>
            <family val="2"/>
          </rPr>
          <t>Author:</t>
        </r>
        <r>
          <rPr>
            <sz val="9"/>
            <color indexed="81"/>
            <rFont val="Tahoma"/>
            <family val="2"/>
          </rPr>
          <t xml:space="preserve">
Central and South America</t>
        </r>
      </text>
    </comment>
    <comment ref="B524" authorId="0" shapeId="0">
      <text>
        <r>
          <rPr>
            <b/>
            <sz val="9"/>
            <color indexed="81"/>
            <rFont val="Tahoma"/>
            <family val="2"/>
          </rPr>
          <t>Author:</t>
        </r>
        <r>
          <rPr>
            <sz val="9"/>
            <color indexed="81"/>
            <rFont val="Tahoma"/>
            <family val="2"/>
          </rPr>
          <t xml:space="preserve">
Eastern Europe &amp; Russia</t>
        </r>
      </text>
    </comment>
    <comment ref="B525" authorId="0" shapeId="0">
      <text>
        <r>
          <rPr>
            <b/>
            <sz val="9"/>
            <color indexed="81"/>
            <rFont val="Tahoma"/>
            <family val="2"/>
          </rPr>
          <t>Author:</t>
        </r>
        <r>
          <rPr>
            <sz val="9"/>
            <color indexed="81"/>
            <rFont val="Tahoma"/>
            <family val="2"/>
          </rPr>
          <t xml:space="preserve">
Middle East</t>
        </r>
      </text>
    </comment>
    <comment ref="B526" authorId="0" shapeId="0">
      <text>
        <r>
          <rPr>
            <b/>
            <sz val="9"/>
            <color indexed="81"/>
            <rFont val="Tahoma"/>
            <family val="2"/>
          </rPr>
          <t>Author:</t>
        </r>
        <r>
          <rPr>
            <sz val="9"/>
            <color indexed="81"/>
            <rFont val="Tahoma"/>
            <family val="2"/>
          </rPr>
          <t xml:space="preserve">
North America</t>
        </r>
      </text>
    </comment>
    <comment ref="B527" authorId="0" shapeId="0">
      <text>
        <r>
          <rPr>
            <b/>
            <sz val="9"/>
            <color indexed="81"/>
            <rFont val="Tahoma"/>
            <family val="2"/>
          </rPr>
          <t>Author:</t>
        </r>
        <r>
          <rPr>
            <sz val="9"/>
            <color indexed="81"/>
            <rFont val="Tahoma"/>
            <family val="2"/>
          </rPr>
          <t xml:space="preserve">
Western Europe</t>
        </r>
      </text>
    </comment>
    <comment ref="B531" authorId="0" shapeId="0">
      <text>
        <r>
          <rPr>
            <b/>
            <sz val="9"/>
            <color indexed="81"/>
            <rFont val="Tahoma"/>
            <family val="2"/>
          </rPr>
          <t>Author:</t>
        </r>
        <r>
          <rPr>
            <sz val="9"/>
            <color indexed="81"/>
            <rFont val="Tahoma"/>
            <family val="2"/>
          </rPr>
          <t xml:space="preserve">
Africa</t>
        </r>
      </text>
    </comment>
    <comment ref="B532" authorId="0" shapeId="0">
      <text>
        <r>
          <rPr>
            <b/>
            <sz val="9"/>
            <color indexed="81"/>
            <rFont val="Tahoma"/>
            <family val="2"/>
          </rPr>
          <t>Author:</t>
        </r>
        <r>
          <rPr>
            <sz val="9"/>
            <color indexed="81"/>
            <rFont val="Tahoma"/>
            <family val="2"/>
          </rPr>
          <t xml:space="preserve">
Asia</t>
        </r>
      </text>
    </comment>
    <comment ref="C532" authorId="0" shapeId="0">
      <text>
        <r>
          <rPr>
            <b/>
            <sz val="9"/>
            <color indexed="81"/>
            <rFont val="Tahoma"/>
            <family val="2"/>
          </rPr>
          <t>Author:</t>
        </r>
        <r>
          <rPr>
            <sz val="9"/>
            <color indexed="81"/>
            <rFont val="Tahoma"/>
            <family val="2"/>
          </rPr>
          <t xml:space="preserve">
Asia</t>
        </r>
      </text>
    </comment>
    <comment ref="D532" authorId="0" shapeId="0">
      <text>
        <r>
          <rPr>
            <b/>
            <sz val="9"/>
            <color indexed="81"/>
            <rFont val="Tahoma"/>
            <family val="2"/>
          </rPr>
          <t>Author:</t>
        </r>
        <r>
          <rPr>
            <sz val="9"/>
            <color indexed="81"/>
            <rFont val="Tahoma"/>
            <family val="2"/>
          </rPr>
          <t xml:space="preserve">
Asia</t>
        </r>
      </text>
    </comment>
    <comment ref="E532" authorId="0" shapeId="0">
      <text>
        <r>
          <rPr>
            <b/>
            <sz val="9"/>
            <color indexed="81"/>
            <rFont val="Tahoma"/>
            <family val="2"/>
          </rPr>
          <t>Author:</t>
        </r>
        <r>
          <rPr>
            <sz val="9"/>
            <color indexed="81"/>
            <rFont val="Tahoma"/>
            <family val="2"/>
          </rPr>
          <t xml:space="preserve">
Asia</t>
        </r>
      </text>
    </comment>
    <comment ref="F532" authorId="0" shapeId="0">
      <text>
        <r>
          <rPr>
            <b/>
            <sz val="9"/>
            <color indexed="81"/>
            <rFont val="Tahoma"/>
            <family val="2"/>
          </rPr>
          <t>Author:</t>
        </r>
        <r>
          <rPr>
            <sz val="9"/>
            <color indexed="81"/>
            <rFont val="Tahoma"/>
            <family val="2"/>
          </rPr>
          <t xml:space="preserve">
Asia</t>
        </r>
      </text>
    </comment>
    <comment ref="G532" authorId="0" shapeId="0">
      <text>
        <r>
          <rPr>
            <b/>
            <sz val="9"/>
            <color indexed="81"/>
            <rFont val="Tahoma"/>
            <family val="2"/>
          </rPr>
          <t>Author:</t>
        </r>
        <r>
          <rPr>
            <sz val="9"/>
            <color indexed="81"/>
            <rFont val="Tahoma"/>
            <family val="2"/>
          </rPr>
          <t xml:space="preserve">
Asia</t>
        </r>
      </text>
    </comment>
    <comment ref="H532" authorId="0" shapeId="0">
      <text>
        <r>
          <rPr>
            <b/>
            <sz val="9"/>
            <color indexed="81"/>
            <rFont val="Tahoma"/>
            <family val="2"/>
          </rPr>
          <t>Author:</t>
        </r>
        <r>
          <rPr>
            <sz val="9"/>
            <color indexed="81"/>
            <rFont val="Tahoma"/>
            <family val="2"/>
          </rPr>
          <t xml:space="preserve">
Asia</t>
        </r>
      </text>
    </comment>
    <comment ref="I532" authorId="0" shapeId="0">
      <text>
        <r>
          <rPr>
            <b/>
            <sz val="9"/>
            <color indexed="81"/>
            <rFont val="Tahoma"/>
            <family val="2"/>
          </rPr>
          <t>Author:</t>
        </r>
        <r>
          <rPr>
            <sz val="9"/>
            <color indexed="81"/>
            <rFont val="Tahoma"/>
            <family val="2"/>
          </rPr>
          <t xml:space="preserve">
Asia</t>
        </r>
      </text>
    </comment>
    <comment ref="J532" authorId="0" shapeId="0">
      <text>
        <r>
          <rPr>
            <b/>
            <sz val="9"/>
            <color indexed="81"/>
            <rFont val="Tahoma"/>
            <family val="2"/>
          </rPr>
          <t>Author:</t>
        </r>
        <r>
          <rPr>
            <sz val="9"/>
            <color indexed="81"/>
            <rFont val="Tahoma"/>
            <family val="2"/>
          </rPr>
          <t xml:space="preserve">
Asia</t>
        </r>
      </text>
    </comment>
    <comment ref="K532" authorId="0" shapeId="0">
      <text>
        <r>
          <rPr>
            <b/>
            <sz val="9"/>
            <color indexed="81"/>
            <rFont val="Tahoma"/>
            <family val="2"/>
          </rPr>
          <t>Author:</t>
        </r>
        <r>
          <rPr>
            <sz val="9"/>
            <color indexed="81"/>
            <rFont val="Tahoma"/>
            <family val="2"/>
          </rPr>
          <t xml:space="preserve">
Asia</t>
        </r>
      </text>
    </comment>
    <comment ref="L532" authorId="0" shapeId="0">
      <text>
        <r>
          <rPr>
            <b/>
            <sz val="9"/>
            <color indexed="81"/>
            <rFont val="Tahoma"/>
            <family val="2"/>
          </rPr>
          <t>Author:</t>
        </r>
        <r>
          <rPr>
            <sz val="9"/>
            <color indexed="81"/>
            <rFont val="Tahoma"/>
            <family val="2"/>
          </rPr>
          <t xml:space="preserve">
Asia</t>
        </r>
      </text>
    </comment>
    <comment ref="M532" authorId="0" shapeId="0">
      <text>
        <r>
          <rPr>
            <b/>
            <sz val="9"/>
            <color indexed="81"/>
            <rFont val="Tahoma"/>
            <family val="2"/>
          </rPr>
          <t>Author:</t>
        </r>
        <r>
          <rPr>
            <sz val="9"/>
            <color indexed="81"/>
            <rFont val="Tahoma"/>
            <family val="2"/>
          </rPr>
          <t xml:space="preserve">
Asia</t>
        </r>
      </text>
    </comment>
    <comment ref="B533" authorId="0" shapeId="0">
      <text>
        <r>
          <rPr>
            <b/>
            <sz val="9"/>
            <color indexed="81"/>
            <rFont val="Tahoma"/>
            <family val="2"/>
          </rPr>
          <t>Author:</t>
        </r>
        <r>
          <rPr>
            <sz val="9"/>
            <color indexed="81"/>
            <rFont val="Tahoma"/>
            <family val="2"/>
          </rPr>
          <t xml:space="preserve">
Australia &amp; New Zealand</t>
        </r>
      </text>
    </comment>
    <comment ref="B534" authorId="0" shapeId="0">
      <text>
        <r>
          <rPr>
            <b/>
            <sz val="9"/>
            <color indexed="81"/>
            <rFont val="Tahoma"/>
            <family val="2"/>
          </rPr>
          <t>Author:</t>
        </r>
        <r>
          <rPr>
            <sz val="9"/>
            <color indexed="81"/>
            <rFont val="Tahoma"/>
            <family val="2"/>
          </rPr>
          <t xml:space="preserve">
Caribbean</t>
        </r>
      </text>
    </comment>
    <comment ref="B535" authorId="0" shapeId="0">
      <text>
        <r>
          <rPr>
            <b/>
            <sz val="9"/>
            <color indexed="81"/>
            <rFont val="Tahoma"/>
            <family val="2"/>
          </rPr>
          <t>Author:</t>
        </r>
        <r>
          <rPr>
            <sz val="9"/>
            <color indexed="81"/>
            <rFont val="Tahoma"/>
            <family val="2"/>
          </rPr>
          <t xml:space="preserve">
Central and South America</t>
        </r>
      </text>
    </comment>
    <comment ref="B536" authorId="0" shapeId="0">
      <text>
        <r>
          <rPr>
            <b/>
            <sz val="9"/>
            <color indexed="81"/>
            <rFont val="Tahoma"/>
            <family val="2"/>
          </rPr>
          <t>Author:</t>
        </r>
        <r>
          <rPr>
            <sz val="9"/>
            <color indexed="81"/>
            <rFont val="Tahoma"/>
            <family val="2"/>
          </rPr>
          <t xml:space="preserve">
Eastern Europe &amp; Russia</t>
        </r>
      </text>
    </comment>
    <comment ref="B537" authorId="0" shapeId="0">
      <text>
        <r>
          <rPr>
            <b/>
            <sz val="9"/>
            <color indexed="81"/>
            <rFont val="Tahoma"/>
            <family val="2"/>
          </rPr>
          <t>Author:</t>
        </r>
        <r>
          <rPr>
            <sz val="9"/>
            <color indexed="81"/>
            <rFont val="Tahoma"/>
            <family val="2"/>
          </rPr>
          <t xml:space="preserve">
Middle East</t>
        </r>
      </text>
    </comment>
    <comment ref="B538" authorId="0" shapeId="0">
      <text>
        <r>
          <rPr>
            <b/>
            <sz val="9"/>
            <color indexed="81"/>
            <rFont val="Tahoma"/>
            <family val="2"/>
          </rPr>
          <t>Author:</t>
        </r>
        <r>
          <rPr>
            <sz val="9"/>
            <color indexed="81"/>
            <rFont val="Tahoma"/>
            <family val="2"/>
          </rPr>
          <t xml:space="preserve">
North America</t>
        </r>
      </text>
    </comment>
    <comment ref="C538" authorId="0" shapeId="0">
      <text>
        <r>
          <rPr>
            <b/>
            <sz val="9"/>
            <color indexed="81"/>
            <rFont val="Tahoma"/>
            <family val="2"/>
          </rPr>
          <t>Author:</t>
        </r>
        <r>
          <rPr>
            <sz val="9"/>
            <color indexed="81"/>
            <rFont val="Tahoma"/>
            <family val="2"/>
          </rPr>
          <t xml:space="preserve">
North America</t>
        </r>
      </text>
    </comment>
    <comment ref="D538" authorId="0" shapeId="0">
      <text>
        <r>
          <rPr>
            <b/>
            <sz val="9"/>
            <color indexed="81"/>
            <rFont val="Tahoma"/>
            <family val="2"/>
          </rPr>
          <t>Author:</t>
        </r>
        <r>
          <rPr>
            <sz val="9"/>
            <color indexed="81"/>
            <rFont val="Tahoma"/>
            <family val="2"/>
          </rPr>
          <t xml:space="preserve">
North America</t>
        </r>
      </text>
    </comment>
    <comment ref="E538" authorId="0" shapeId="0">
      <text>
        <r>
          <rPr>
            <b/>
            <sz val="9"/>
            <color indexed="81"/>
            <rFont val="Tahoma"/>
            <family val="2"/>
          </rPr>
          <t>Author:</t>
        </r>
        <r>
          <rPr>
            <sz val="9"/>
            <color indexed="81"/>
            <rFont val="Tahoma"/>
            <family val="2"/>
          </rPr>
          <t xml:space="preserve">
North America</t>
        </r>
      </text>
    </comment>
    <comment ref="F538" authorId="0" shapeId="0">
      <text>
        <r>
          <rPr>
            <b/>
            <sz val="9"/>
            <color indexed="81"/>
            <rFont val="Tahoma"/>
            <family val="2"/>
          </rPr>
          <t>Author:</t>
        </r>
        <r>
          <rPr>
            <sz val="9"/>
            <color indexed="81"/>
            <rFont val="Tahoma"/>
            <family val="2"/>
          </rPr>
          <t xml:space="preserve">
North America</t>
        </r>
      </text>
    </comment>
    <comment ref="G538" authorId="0" shapeId="0">
      <text>
        <r>
          <rPr>
            <b/>
            <sz val="9"/>
            <color indexed="81"/>
            <rFont val="Tahoma"/>
            <family val="2"/>
          </rPr>
          <t>Author:</t>
        </r>
        <r>
          <rPr>
            <sz val="9"/>
            <color indexed="81"/>
            <rFont val="Tahoma"/>
            <family val="2"/>
          </rPr>
          <t xml:space="preserve">
North America</t>
        </r>
      </text>
    </comment>
    <comment ref="H538" authorId="0" shapeId="0">
      <text>
        <r>
          <rPr>
            <b/>
            <sz val="9"/>
            <color indexed="81"/>
            <rFont val="Tahoma"/>
            <family val="2"/>
          </rPr>
          <t>Author:</t>
        </r>
        <r>
          <rPr>
            <sz val="9"/>
            <color indexed="81"/>
            <rFont val="Tahoma"/>
            <family val="2"/>
          </rPr>
          <t xml:space="preserve">
North America</t>
        </r>
      </text>
    </comment>
    <comment ref="I538" authorId="0" shapeId="0">
      <text>
        <r>
          <rPr>
            <b/>
            <sz val="9"/>
            <color indexed="81"/>
            <rFont val="Tahoma"/>
            <family val="2"/>
          </rPr>
          <t>Author:</t>
        </r>
        <r>
          <rPr>
            <sz val="9"/>
            <color indexed="81"/>
            <rFont val="Tahoma"/>
            <family val="2"/>
          </rPr>
          <t xml:space="preserve">
North America</t>
        </r>
      </text>
    </comment>
    <comment ref="J538" authorId="0" shapeId="0">
      <text>
        <r>
          <rPr>
            <b/>
            <sz val="9"/>
            <color indexed="81"/>
            <rFont val="Tahoma"/>
            <family val="2"/>
          </rPr>
          <t>Author:</t>
        </r>
        <r>
          <rPr>
            <sz val="9"/>
            <color indexed="81"/>
            <rFont val="Tahoma"/>
            <family val="2"/>
          </rPr>
          <t xml:space="preserve">
North America</t>
        </r>
      </text>
    </comment>
    <comment ref="K538" authorId="0" shapeId="0">
      <text>
        <r>
          <rPr>
            <b/>
            <sz val="9"/>
            <color indexed="81"/>
            <rFont val="Tahoma"/>
            <family val="2"/>
          </rPr>
          <t>Author:</t>
        </r>
        <r>
          <rPr>
            <sz val="9"/>
            <color indexed="81"/>
            <rFont val="Tahoma"/>
            <family val="2"/>
          </rPr>
          <t xml:space="preserve">
North America</t>
        </r>
      </text>
    </comment>
    <comment ref="L538" authorId="0" shapeId="0">
      <text>
        <r>
          <rPr>
            <b/>
            <sz val="9"/>
            <color indexed="81"/>
            <rFont val="Tahoma"/>
            <family val="2"/>
          </rPr>
          <t>Author:</t>
        </r>
        <r>
          <rPr>
            <sz val="9"/>
            <color indexed="81"/>
            <rFont val="Tahoma"/>
            <family val="2"/>
          </rPr>
          <t xml:space="preserve">
North America</t>
        </r>
      </text>
    </comment>
    <comment ref="M538" authorId="0" shapeId="0">
      <text>
        <r>
          <rPr>
            <b/>
            <sz val="9"/>
            <color indexed="81"/>
            <rFont val="Tahoma"/>
            <family val="2"/>
          </rPr>
          <t>Author:</t>
        </r>
        <r>
          <rPr>
            <sz val="9"/>
            <color indexed="81"/>
            <rFont val="Tahoma"/>
            <family val="2"/>
          </rPr>
          <t xml:space="preserve">
North America</t>
        </r>
      </text>
    </comment>
    <comment ref="B539" authorId="0" shapeId="0">
      <text>
        <r>
          <rPr>
            <b/>
            <sz val="9"/>
            <color indexed="81"/>
            <rFont val="Tahoma"/>
            <family val="2"/>
          </rPr>
          <t>Author:</t>
        </r>
        <r>
          <rPr>
            <sz val="9"/>
            <color indexed="81"/>
            <rFont val="Tahoma"/>
            <family val="2"/>
          </rPr>
          <t xml:space="preserve">
Western Europe</t>
        </r>
      </text>
    </comment>
    <comment ref="C539" authorId="0" shapeId="0">
      <text>
        <r>
          <rPr>
            <b/>
            <sz val="9"/>
            <color indexed="81"/>
            <rFont val="Tahoma"/>
            <family val="2"/>
          </rPr>
          <t>Author:</t>
        </r>
        <r>
          <rPr>
            <sz val="9"/>
            <color indexed="81"/>
            <rFont val="Tahoma"/>
            <family val="2"/>
          </rPr>
          <t xml:space="preserve">
Western Europe</t>
        </r>
      </text>
    </comment>
    <comment ref="D539" authorId="0" shapeId="0">
      <text>
        <r>
          <rPr>
            <b/>
            <sz val="9"/>
            <color indexed="81"/>
            <rFont val="Tahoma"/>
            <family val="2"/>
          </rPr>
          <t>Author:</t>
        </r>
        <r>
          <rPr>
            <sz val="9"/>
            <color indexed="81"/>
            <rFont val="Tahoma"/>
            <family val="2"/>
          </rPr>
          <t xml:space="preserve">
Western Europe</t>
        </r>
      </text>
    </comment>
    <comment ref="E539" authorId="0" shapeId="0">
      <text>
        <r>
          <rPr>
            <b/>
            <sz val="9"/>
            <color indexed="81"/>
            <rFont val="Tahoma"/>
            <family val="2"/>
          </rPr>
          <t>Author:</t>
        </r>
        <r>
          <rPr>
            <sz val="9"/>
            <color indexed="81"/>
            <rFont val="Tahoma"/>
            <family val="2"/>
          </rPr>
          <t xml:space="preserve">
Western Europe</t>
        </r>
      </text>
    </comment>
    <comment ref="F539" authorId="0" shapeId="0">
      <text>
        <r>
          <rPr>
            <b/>
            <sz val="9"/>
            <color indexed="81"/>
            <rFont val="Tahoma"/>
            <family val="2"/>
          </rPr>
          <t>Author:</t>
        </r>
        <r>
          <rPr>
            <sz val="9"/>
            <color indexed="81"/>
            <rFont val="Tahoma"/>
            <family val="2"/>
          </rPr>
          <t xml:space="preserve">
Western Europe</t>
        </r>
      </text>
    </comment>
    <comment ref="G539" authorId="0" shapeId="0">
      <text>
        <r>
          <rPr>
            <b/>
            <sz val="9"/>
            <color indexed="81"/>
            <rFont val="Tahoma"/>
            <family val="2"/>
          </rPr>
          <t>Author:</t>
        </r>
        <r>
          <rPr>
            <sz val="9"/>
            <color indexed="81"/>
            <rFont val="Tahoma"/>
            <family val="2"/>
          </rPr>
          <t xml:space="preserve">
Western Europe</t>
        </r>
      </text>
    </comment>
    <comment ref="H539" authorId="0" shapeId="0">
      <text>
        <r>
          <rPr>
            <b/>
            <sz val="9"/>
            <color indexed="81"/>
            <rFont val="Tahoma"/>
            <family val="2"/>
          </rPr>
          <t>Author:</t>
        </r>
        <r>
          <rPr>
            <sz val="9"/>
            <color indexed="81"/>
            <rFont val="Tahoma"/>
            <family val="2"/>
          </rPr>
          <t xml:space="preserve">
Western Europe</t>
        </r>
      </text>
    </comment>
    <comment ref="I539" authorId="0" shapeId="0">
      <text>
        <r>
          <rPr>
            <b/>
            <sz val="9"/>
            <color indexed="81"/>
            <rFont val="Tahoma"/>
            <family val="2"/>
          </rPr>
          <t>Author:</t>
        </r>
        <r>
          <rPr>
            <sz val="9"/>
            <color indexed="81"/>
            <rFont val="Tahoma"/>
            <family val="2"/>
          </rPr>
          <t xml:space="preserve">
Western Europe</t>
        </r>
      </text>
    </comment>
    <comment ref="J539" authorId="0" shapeId="0">
      <text>
        <r>
          <rPr>
            <b/>
            <sz val="9"/>
            <color indexed="81"/>
            <rFont val="Tahoma"/>
            <family val="2"/>
          </rPr>
          <t>Author:</t>
        </r>
        <r>
          <rPr>
            <sz val="9"/>
            <color indexed="81"/>
            <rFont val="Tahoma"/>
            <family val="2"/>
          </rPr>
          <t xml:space="preserve">
Western Europe</t>
        </r>
      </text>
    </comment>
    <comment ref="K539" authorId="0" shapeId="0">
      <text>
        <r>
          <rPr>
            <b/>
            <sz val="9"/>
            <color indexed="81"/>
            <rFont val="Tahoma"/>
            <family val="2"/>
          </rPr>
          <t>Author:</t>
        </r>
        <r>
          <rPr>
            <sz val="9"/>
            <color indexed="81"/>
            <rFont val="Tahoma"/>
            <family val="2"/>
          </rPr>
          <t xml:space="preserve">
Western Europe</t>
        </r>
      </text>
    </comment>
    <comment ref="L539" authorId="0" shapeId="0">
      <text>
        <r>
          <rPr>
            <b/>
            <sz val="9"/>
            <color indexed="81"/>
            <rFont val="Tahoma"/>
            <family val="2"/>
          </rPr>
          <t>Author:</t>
        </r>
        <r>
          <rPr>
            <sz val="9"/>
            <color indexed="81"/>
            <rFont val="Tahoma"/>
            <family val="2"/>
          </rPr>
          <t xml:space="preserve">
Western Europe</t>
        </r>
      </text>
    </comment>
    <comment ref="M539" authorId="0" shapeId="0">
      <text>
        <r>
          <rPr>
            <b/>
            <sz val="9"/>
            <color indexed="81"/>
            <rFont val="Tahoma"/>
            <family val="2"/>
          </rPr>
          <t>Author:</t>
        </r>
        <r>
          <rPr>
            <sz val="9"/>
            <color indexed="81"/>
            <rFont val="Tahoma"/>
            <family val="2"/>
          </rPr>
          <t xml:space="preserve">
Western Europe</t>
        </r>
      </text>
    </comment>
    <comment ref="A548" authorId="0" shapeId="0">
      <text>
        <r>
          <rPr>
            <b/>
            <sz val="9"/>
            <color indexed="81"/>
            <rFont val="Tahoma"/>
            <family val="2"/>
          </rPr>
          <t>Author:</t>
        </r>
        <r>
          <rPr>
            <sz val="9"/>
            <color indexed="81"/>
            <rFont val="Tahoma"/>
            <family val="2"/>
          </rPr>
          <t xml:space="preserve">
Current, long term cost of borrowing money. If you have a rating use it, if not use a synthetic rating.</t>
        </r>
      </text>
    </comment>
    <comment ref="A554" authorId="0" shapeId="0">
      <text>
        <r>
          <rPr>
            <b/>
            <sz val="9"/>
            <color indexed="81"/>
            <rFont val="Tahoma"/>
            <family val="2"/>
          </rPr>
          <t>Author:</t>
        </r>
        <r>
          <rPr>
            <sz val="9"/>
            <color indexed="81"/>
            <rFont val="Tahoma"/>
            <family val="2"/>
          </rPr>
          <t xml:space="preserve">
Enter the interest expense from the most recent income statement.</t>
        </r>
      </text>
    </comment>
    <comment ref="A555" authorId="0" shapeId="0">
      <text>
        <r>
          <rPr>
            <b/>
            <sz val="9"/>
            <color indexed="81"/>
            <rFont val="Geneva"/>
          </rPr>
          <t>Author:</t>
        </r>
        <r>
          <rPr>
            <sz val="9"/>
            <color indexed="81"/>
            <rFont val="Geneva"/>
          </rPr>
          <t xml:space="preserve">
If your most recent year's operating income is unusually low or high, you can use the average operating income from the last few years. 
Add back only long term interest expense for financial firms</t>
        </r>
      </text>
    </comment>
    <comment ref="A564" authorId="0" shapeId="0">
      <text>
        <r>
          <rPr>
            <b/>
            <sz val="9"/>
            <color indexed="81"/>
            <rFont val="Geneva"/>
          </rPr>
          <t>Author:</t>
        </r>
        <r>
          <rPr>
            <sz val="9"/>
            <color indexed="81"/>
            <rFont val="Geneva"/>
          </rPr>
          <t xml:space="preserve">
This should be today's long term riskfree rate (today's ten -year government bond rate). If you are working with a currency where the government has default risk, clean up the government bond rate to make it riskfree (by subtracting the default spread for the government)</t>
        </r>
      </text>
    </comment>
    <comment ref="A582" authorId="0" shapeId="0">
      <text>
        <r>
          <rPr>
            <b/>
            <sz val="9"/>
            <color indexed="81"/>
            <rFont val="Tahoma"/>
            <family val="2"/>
          </rPr>
          <t>Author:</t>
        </r>
        <r>
          <rPr>
            <sz val="9"/>
            <color indexed="81"/>
            <rFont val="Tahoma"/>
            <family val="2"/>
          </rPr>
          <t xml:space="preserve">
exclude: Pension Liabilities</t>
        </r>
      </text>
    </comment>
    <comment ref="A603" authorId="0" shapeId="0">
      <text>
        <r>
          <rPr>
            <b/>
            <sz val="9"/>
            <color indexed="81"/>
            <rFont val="Geneva"/>
          </rPr>
          <t>Author:</t>
        </r>
        <r>
          <rPr>
            <sz val="9"/>
            <color indexed="81"/>
            <rFont val="Geneva"/>
          </rPr>
          <t xml:space="preserve">
Enter the most recent update you have on the number of shares. If you have different classes of shares, aggregate them all and enter one number. Count restricted stock units (RSUs) as shares but don't count shares underlying employee options.</t>
        </r>
      </text>
    </comment>
    <comment ref="A604" authorId="0" shapeId="0">
      <text>
        <r>
          <rPr>
            <b/>
            <sz val="9"/>
            <color indexed="81"/>
            <rFont val="Geneva"/>
          </rPr>
          <t>Author:</t>
        </r>
        <r>
          <rPr>
            <sz val="9"/>
            <color indexed="81"/>
            <rFont val="Geneva"/>
          </rPr>
          <t xml:space="preserve">
Enter the most recent stock price (how about today's?) in here. If you are assessing the value of the stock, enter your estimate of the expected IPO price</t>
        </r>
      </text>
    </comment>
    <comment ref="A606" authorId="0" shapeId="0">
      <text>
        <r>
          <rPr>
            <b/>
            <sz val="9"/>
            <color indexed="81"/>
            <rFont val="Geneva"/>
          </rPr>
          <t>Author:</t>
        </r>
        <r>
          <rPr>
            <sz val="9"/>
            <color indexed="81"/>
            <rFont val="Geneva"/>
          </rPr>
          <t xml:space="preserve">
If you have a standard deviation for your stock, enter the annualized number. You can use either a historical estimate or an implied standard deviation. If not, use the industry average standard deviation from the table.</t>
        </r>
      </text>
    </comment>
    <comment ref="A607" authorId="0" shapeId="0">
      <text>
        <r>
          <rPr>
            <b/>
            <sz val="9"/>
            <color indexed="81"/>
            <rFont val="Geneva"/>
          </rPr>
          <t>Author:</t>
        </r>
        <r>
          <rPr>
            <sz val="9"/>
            <color indexed="81"/>
            <rFont val="Geneva"/>
          </rPr>
          <t xml:space="preserve">
Divide the dollar dividends (annual) by the stock price.</t>
        </r>
      </text>
    </comment>
    <comment ref="A609" authorId="0" shapeId="0">
      <text>
        <r>
          <rPr>
            <b/>
            <sz val="9"/>
            <color indexed="81"/>
            <rFont val="Geneva"/>
          </rPr>
          <t>Author:</t>
        </r>
        <r>
          <rPr>
            <sz val="9"/>
            <color indexed="81"/>
            <rFont val="Geneva"/>
          </rPr>
          <t xml:space="preserve">
Enter the book value of equity (total) from the end of the most recent time period (i.e. the most recent balance sheet). This book equity will include everything - paid in capital, retained earnings etc. and may even be negative for companies that have been losing money for a while.</t>
        </r>
      </text>
    </comment>
    <comment ref="A621" authorId="0" shapeId="0">
      <text>
        <r>
          <rPr>
            <b/>
            <sz val="9"/>
            <color indexed="81"/>
            <rFont val="Geneva"/>
          </rPr>
          <t>Author:</t>
        </r>
        <r>
          <rPr>
            <sz val="9"/>
            <color indexed="81"/>
            <rFont val="Geneva"/>
          </rPr>
          <t xml:space="preserve">
Enter the weighted average strike price of your options. (Should be in your 10K or annual report.)</t>
        </r>
      </text>
    </comment>
    <comment ref="A622" authorId="0" shapeId="0">
      <text>
        <r>
          <rPr>
            <b/>
            <sz val="9"/>
            <color indexed="81"/>
            <rFont val="Geneva"/>
          </rPr>
          <t>Author:</t>
        </r>
        <r>
          <rPr>
            <sz val="9"/>
            <color indexed="81"/>
            <rFont val="Geneva"/>
          </rPr>
          <t xml:space="preserve">
The weighted average maturity of your options should be reported in your financial statements.
Do you want to adjust the stated maturity for the fact that employee options are illiquid and get exercised early? If yes, enter the maturity you would like to use in the option pricing model</t>
        </r>
      </text>
    </comment>
    <comment ref="A623" authorId="0" shapeId="0">
      <text>
        <r>
          <rPr>
            <b/>
            <sz val="9"/>
            <color indexed="81"/>
            <rFont val="Geneva"/>
          </rPr>
          <t>Author:</t>
        </r>
        <r>
          <rPr>
            <sz val="9"/>
            <color indexed="81"/>
            <rFont val="Geneva"/>
          </rPr>
          <t xml:space="preserve">
Check your company's annual report or 10K. If it does have options outstanding, enter the total number here (vested and non vested, in the money and out…)</t>
        </r>
      </text>
    </comment>
    <comment ref="A624" authorId="0" shapeId="0">
      <text>
        <r>
          <rPr>
            <b/>
            <sz val="9"/>
            <color indexed="81"/>
            <rFont val="Geneva"/>
          </rPr>
          <t>Author:</t>
        </r>
        <r>
          <rPr>
            <sz val="9"/>
            <color indexed="81"/>
            <rFont val="Geneva"/>
          </rPr>
          <t xml:space="preserve">
The option value below is not adjusted for non-vesting. Do you want to adjust for vesting?</t>
        </r>
      </text>
    </comment>
    <comment ref="A625" authorId="0" shapeId="0">
      <text>
        <r>
          <rPr>
            <b/>
            <sz val="9"/>
            <color indexed="81"/>
            <rFont val="Geneva"/>
          </rPr>
          <t>Author:</t>
        </r>
        <r>
          <rPr>
            <sz val="9"/>
            <color indexed="81"/>
            <rFont val="Geneva"/>
          </rPr>
          <t xml:space="preserve">
Enter the most recent update you have on the number of shares. If you have different classes of shares, aggregate them all and enter one number. Count restricted stock units (RSUs) as shares but don't count shares underlying employee options.</t>
        </r>
      </text>
    </comment>
    <comment ref="A627" authorId="0" shapeId="0">
      <text>
        <r>
          <rPr>
            <b/>
            <sz val="9"/>
            <color indexed="81"/>
            <rFont val="Geneva"/>
          </rPr>
          <t>Author:</t>
        </r>
        <r>
          <rPr>
            <sz val="9"/>
            <color indexed="81"/>
            <rFont val="Geneva"/>
          </rPr>
          <t xml:space="preserve">
Enter the most recent stock price (how about today's?) in here. If you are assessing the value of the stock, enter your estimate of the expected IPO price</t>
        </r>
      </text>
    </comment>
    <comment ref="A628" authorId="0" shapeId="0">
      <text>
        <r>
          <rPr>
            <b/>
            <sz val="9"/>
            <color indexed="81"/>
            <rFont val="Geneva"/>
          </rPr>
          <t>Author:</t>
        </r>
        <r>
          <rPr>
            <sz val="9"/>
            <color indexed="81"/>
            <rFont val="Geneva"/>
          </rPr>
          <t xml:space="preserve">
If you have a standard deviation for your stock, enter the annualized number. You can use either a historical estimate or an implied standard deviation. If not, use the industry average standard deviation from the table.</t>
        </r>
      </text>
    </comment>
    <comment ref="A629" authorId="0" shapeId="0">
      <text>
        <r>
          <rPr>
            <b/>
            <sz val="9"/>
            <color indexed="81"/>
            <rFont val="Geneva"/>
          </rPr>
          <t>Author:</t>
        </r>
        <r>
          <rPr>
            <sz val="9"/>
            <color indexed="81"/>
            <rFont val="Geneva"/>
          </rPr>
          <t xml:space="preserve">
Divide the dollar dividends (annual) by the stock price.</t>
        </r>
      </text>
    </comment>
    <comment ref="A631" authorId="0" shapeId="0">
      <text>
        <r>
          <rPr>
            <b/>
            <sz val="9"/>
            <color indexed="81"/>
            <rFont val="Geneva"/>
          </rPr>
          <t>Author:</t>
        </r>
        <r>
          <rPr>
            <sz val="9"/>
            <color indexed="81"/>
            <rFont val="Geneva"/>
          </rPr>
          <t xml:space="preserve">
Enter the rate on a government bond with maturity closest to option expiration.</t>
        </r>
      </text>
    </comment>
    <comment ref="A642" authorId="0" shapeId="0">
      <text>
        <r>
          <rPr>
            <b/>
            <sz val="9"/>
            <color indexed="81"/>
            <rFont val="Tahoma"/>
            <family val="2"/>
          </rPr>
          <t>Author:</t>
        </r>
        <r>
          <rPr>
            <sz val="9"/>
            <color indexed="81"/>
            <rFont val="Tahoma"/>
            <family val="2"/>
          </rPr>
          <t xml:space="preserve">
If you have operating leases, please enter your lease commitments in the lease section below and I will convert to debt (with operating leases reclassifed as debt)</t>
        </r>
      </text>
    </comment>
    <comment ref="A644" authorId="0" shapeId="0">
      <text>
        <r>
          <rPr>
            <b/>
            <sz val="9"/>
            <color indexed="81"/>
            <rFont val="Tahoma"/>
            <family val="2"/>
          </rPr>
          <t>Author:</t>
        </r>
        <r>
          <rPr>
            <sz val="9"/>
            <color indexed="81"/>
            <rFont val="Tahoma"/>
            <family val="2"/>
          </rPr>
          <t xml:space="preserve">
Add this amount to pre-tax operating income</t>
        </r>
      </text>
    </comment>
    <comment ref="A645" authorId="0" shapeId="0">
      <text>
        <r>
          <rPr>
            <b/>
            <sz val="9"/>
            <color indexed="81"/>
            <rFont val="Tahoma"/>
            <family val="2"/>
          </rPr>
          <t>Author:</t>
        </r>
        <r>
          <rPr>
            <sz val="9"/>
            <color indexed="81"/>
            <rFont val="Tahoma"/>
            <family val="2"/>
          </rPr>
          <t xml:space="preserve">
Depreciation on leased asset. use straight line depreciation</t>
        </r>
      </text>
    </comment>
    <comment ref="A646" authorId="0" shapeId="0">
      <text>
        <r>
          <rPr>
            <b/>
            <sz val="9"/>
            <color indexed="81"/>
            <rFont val="Tahoma"/>
            <family val="2"/>
          </rPr>
          <t>Author:</t>
        </r>
        <r>
          <rPr>
            <sz val="9"/>
            <color indexed="81"/>
            <rFont val="Tahoma"/>
            <family val="2"/>
          </rPr>
          <t xml:space="preserve">
Debt Value of leases. Add this amount to debt</t>
        </r>
      </text>
    </comment>
    <comment ref="A648" authorId="0" shapeId="0">
      <text>
        <r>
          <rPr>
            <b/>
            <sz val="9"/>
            <color indexed="81"/>
            <rFont val="Tahoma"/>
            <family val="2"/>
          </rPr>
          <t>Author:</t>
        </r>
        <r>
          <rPr>
            <sz val="9"/>
            <color indexed="81"/>
            <rFont val="Tahoma"/>
            <family val="2"/>
          </rPr>
          <t xml:space="preserve">
Current, long term cost of borrowing money. If you have a rating use it, if not use a synthetic rating.</t>
        </r>
      </text>
    </comment>
    <comment ref="A649" authorId="0" shapeId="0">
      <text>
        <r>
          <rPr>
            <b/>
            <sz val="9"/>
            <color indexed="81"/>
            <rFont val="Geneva"/>
          </rPr>
          <t>Author:</t>
        </r>
        <r>
          <rPr>
            <sz val="9"/>
            <color indexed="81"/>
            <rFont val="Geneva"/>
          </rPr>
          <t xml:space="preserve">
Enter your effective (not marginal) tax rate for your firm. You will find this in your company's annual report. If you cannot, you can compute it as follows, from the income statement:
Effective tax rate = Taxes paid/ Taxable income
If your effective tax rate varies across years, you can use an average.</t>
        </r>
      </text>
    </comment>
    <comment ref="A654" authorId="0" shapeId="0">
      <text>
        <r>
          <rPr>
            <b/>
            <sz val="9"/>
            <color indexed="81"/>
            <rFont val="Tahoma"/>
            <family val="2"/>
          </rPr>
          <t>Author:</t>
        </r>
        <r>
          <rPr>
            <sz val="9"/>
            <color indexed="81"/>
            <rFont val="Tahoma"/>
            <family val="2"/>
          </rPr>
          <t xml:space="preserve">
This is the interest-bearing debt reported on the balance sheet</t>
        </r>
      </text>
    </comment>
    <comment ref="A665" authorId="0" shapeId="0">
      <text>
        <r>
          <rPr>
            <b/>
            <sz val="9"/>
            <color indexed="81"/>
            <rFont val="Tahoma"/>
            <family val="2"/>
          </rPr>
          <t>Author:</t>
        </r>
        <r>
          <rPr>
            <sz val="9"/>
            <color indexed="81"/>
            <rFont val="Tahoma"/>
            <family val="2"/>
          </rPr>
          <t xml:space="preserve">
Current, long term cost of borrowing money. If you have a rating use it, if not use a synthetic rating.</t>
        </r>
      </text>
    </comment>
    <comment ref="A666" authorId="0" shapeId="0">
      <text>
        <r>
          <rPr>
            <b/>
            <sz val="9"/>
            <color indexed="81"/>
            <rFont val="Tahoma"/>
            <family val="2"/>
          </rPr>
          <t>Author:</t>
        </r>
        <r>
          <rPr>
            <sz val="9"/>
            <color indexed="81"/>
            <rFont val="Tahoma"/>
            <family val="2"/>
          </rPr>
          <t xml:space="preserve">
Generally found in footnotes to financial statements.</t>
        </r>
      </text>
    </comment>
    <comment ref="A669" authorId="0" shapeId="0">
      <text>
        <r>
          <rPr>
            <b/>
            <sz val="9"/>
            <color indexed="81"/>
            <rFont val="Verdana"/>
            <family val="2"/>
          </rPr>
          <t>Author:</t>
        </r>
        <r>
          <rPr>
            <sz val="9"/>
            <color indexed="81"/>
            <rFont val="Verdana"/>
            <family val="2"/>
          </rPr>
          <t xml:space="preserve">
Enter the book value of interest bearing debt (short and long term) at your company from the most recent balance sheet. (Do not include accounts payable, supplier credit or other non-interest bearing liabilities.) </t>
        </r>
      </text>
    </comment>
    <comment ref="A675" authorId="0" shapeId="0">
      <text>
        <r>
          <rPr>
            <b/>
            <sz val="9"/>
            <color indexed="81"/>
            <rFont val="Tahoma"/>
            <family val="2"/>
          </rPr>
          <t>Author:</t>
        </r>
        <r>
          <rPr>
            <sz val="9"/>
            <color indexed="81"/>
            <rFont val="Tahoma"/>
            <family val="2"/>
          </rPr>
          <t xml:space="preserve">
Estimated Value of straight bond portion</t>
        </r>
      </text>
    </comment>
    <comment ref="A676" authorId="0" shapeId="0">
      <text>
        <r>
          <rPr>
            <b/>
            <sz val="9"/>
            <color indexed="81"/>
            <rFont val="Tahoma"/>
            <family val="2"/>
          </rPr>
          <t>Author:</t>
        </r>
        <r>
          <rPr>
            <sz val="9"/>
            <color indexed="81"/>
            <rFont val="Tahoma"/>
            <family val="2"/>
          </rPr>
          <t xml:space="preserve">
coupon rate on bond</t>
        </r>
      </text>
    </comment>
    <comment ref="A680" authorId="0" shapeId="0">
      <text>
        <r>
          <rPr>
            <b/>
            <sz val="9"/>
            <color indexed="81"/>
            <rFont val="Geneva"/>
          </rPr>
          <t>Author:</t>
        </r>
        <r>
          <rPr>
            <sz val="9"/>
            <color indexed="81"/>
            <rFont val="Geneva"/>
          </rPr>
          <t xml:space="preserve">
Value of Conversion options</t>
        </r>
      </text>
    </comment>
    <comment ref="A687" authorId="0" shapeId="0">
      <text>
        <r>
          <rPr>
            <b/>
            <sz val="9"/>
            <color indexed="81"/>
            <rFont val="Geneva"/>
          </rPr>
          <t>Author:</t>
        </r>
        <r>
          <rPr>
            <sz val="9"/>
            <color indexed="81"/>
            <rFont val="Geneva"/>
          </rPr>
          <t xml:space="preserve">
The weighted average maturity of your options should be reported in your financial statements.
Do you want to adjust the stated maturity for the fact that employee options are illiquid and get exercised early? If yes, enter the maturity you would like to use in the option pricing model</t>
        </r>
      </text>
    </comment>
    <comment ref="A688" authorId="0" shapeId="0">
      <text>
        <r>
          <rPr>
            <b/>
            <sz val="9"/>
            <color indexed="81"/>
            <rFont val="Geneva"/>
          </rPr>
          <t>Author:</t>
        </r>
        <r>
          <rPr>
            <sz val="9"/>
            <color indexed="81"/>
            <rFont val="Geneva"/>
          </rPr>
          <t xml:space="preserve">
Enter the weighted average strike price of your options. (Should be in your 10K or annual report.)</t>
        </r>
      </text>
    </comment>
    <comment ref="A691" authorId="0" shapeId="0">
      <text>
        <r>
          <rPr>
            <b/>
            <sz val="9"/>
            <color indexed="81"/>
            <rFont val="Geneva"/>
          </rPr>
          <t>Author:</t>
        </r>
        <r>
          <rPr>
            <sz val="9"/>
            <color indexed="81"/>
            <rFont val="Geneva"/>
          </rPr>
          <t xml:space="preserve">
If you have a standard deviation for your stock, enter the annualized number. You can use either a historical estimate or an implied standard deviation. If not, use the industry average standard deviation from the table.</t>
        </r>
      </text>
    </comment>
    <comment ref="A692" authorId="0" shapeId="0">
      <text>
        <r>
          <rPr>
            <b/>
            <sz val="9"/>
            <color indexed="81"/>
            <rFont val="Geneva"/>
          </rPr>
          <t>Author:</t>
        </r>
        <r>
          <rPr>
            <sz val="9"/>
            <color indexed="81"/>
            <rFont val="Geneva"/>
          </rPr>
          <t xml:space="preserve">
Divide the dollar dividends (annual) by the stock price.</t>
        </r>
      </text>
    </comment>
    <comment ref="A693" authorId="0" shapeId="0">
      <text>
        <r>
          <rPr>
            <b/>
            <sz val="9"/>
            <color indexed="81"/>
            <rFont val="Geneva"/>
          </rPr>
          <t>Author:</t>
        </r>
        <r>
          <rPr>
            <sz val="9"/>
            <color indexed="81"/>
            <rFont val="Geneva"/>
          </rPr>
          <t xml:space="preserve">
Enter the rate on a government bond with maturity closest to option expiration.</t>
        </r>
      </text>
    </comment>
    <comment ref="A695" authorId="0" shapeId="0">
      <text>
        <r>
          <rPr>
            <b/>
            <sz val="9"/>
            <color indexed="81"/>
            <rFont val="Verdana"/>
            <family val="2"/>
          </rPr>
          <t>Author:</t>
        </r>
        <r>
          <rPr>
            <sz val="9"/>
            <color indexed="81"/>
            <rFont val="Verdana"/>
            <family val="2"/>
          </rPr>
          <t xml:space="preserve">
Enter the book value of interest bearing debt (short and long term) at your company from the most recent balance sheet. (Do not include accounts payable, supplier credit or other non-interest bearing liabilities.) </t>
        </r>
      </text>
    </comment>
    <comment ref="A698" authorId="0" shapeId="0">
      <text>
        <r>
          <rPr>
            <b/>
            <sz val="9"/>
            <color indexed="81"/>
            <rFont val="Geneva"/>
          </rPr>
          <t>Author:</t>
        </r>
        <r>
          <rPr>
            <sz val="9"/>
            <color indexed="81"/>
            <rFont val="Geneva"/>
          </rPr>
          <t xml:space="preserve">
Enter the value of those non-cash assets whose earnings are (and will never) show up as part of operating income. 
The most common non-operating assets are minority holdings in other companies (which are not consoldiated). You can find the book value of these holdings on the balance sheet, but see if you can convert to market value. (I apply a price to book ratio, based on the sector that the company is in to the book value).</t>
        </r>
      </text>
    </comment>
    <comment ref="A705" authorId="0" shapeId="0">
      <text>
        <r>
          <rPr>
            <b/>
            <sz val="9"/>
            <color indexed="81"/>
            <rFont val="Tahoma"/>
            <family val="2"/>
          </rPr>
          <t>Author:</t>
        </r>
        <r>
          <rPr>
            <sz val="9"/>
            <color indexed="81"/>
            <rFont val="Tahoma"/>
            <family val="2"/>
          </rPr>
          <t xml:space="preserve">
 If you want to capitalize R&amp;D, you have to input the numbers into the R&amp;D worksheet. </t>
        </r>
      </text>
    </comment>
    <comment ref="A707" authorId="0" shapeId="0">
      <text>
        <r>
          <rPr>
            <b/>
            <sz val="9"/>
            <color indexed="81"/>
            <rFont val="Tahoma"/>
            <family val="2"/>
          </rPr>
          <t>Author:</t>
        </r>
        <r>
          <rPr>
            <sz val="9"/>
            <color indexed="81"/>
            <rFont val="Tahoma"/>
            <family val="2"/>
          </rPr>
          <t xml:space="preserve">
By expensing R&amp;D rather than capitalizing it, the firm gets a tax benefit. This is the dollar value of that tax benefit.</t>
        </r>
      </text>
    </comment>
    <comment ref="A709" authorId="0" shapeId="0">
      <text>
        <r>
          <rPr>
            <b/>
            <sz val="9"/>
            <color indexed="81"/>
            <rFont val="Tahoma"/>
            <family val="2"/>
          </rPr>
          <t>Author:</t>
        </r>
        <r>
          <rPr>
            <sz val="9"/>
            <color indexed="81"/>
            <rFont val="Tahoma"/>
            <family val="2"/>
          </rPr>
          <t xml:space="preserve">
A positive number indicates an increase in operating income (add to reported EBIT)</t>
        </r>
      </text>
    </comment>
    <comment ref="A714" authorId="0" shapeId="0">
      <text>
        <r>
          <rPr>
            <b/>
            <sz val="9"/>
            <color indexed="81"/>
            <rFont val="Geneva"/>
          </rPr>
          <t>Author:</t>
        </r>
        <r>
          <rPr>
            <sz val="9"/>
            <color indexed="81"/>
            <rFont val="Geneva"/>
          </rPr>
          <t xml:space="preserve">
Over how many years do you want to amortize R&amp;D expenses</t>
        </r>
      </text>
    </comment>
    <comment ref="A716" authorId="0" shapeId="0">
      <text>
        <r>
          <rPr>
            <b/>
            <sz val="9"/>
            <color indexed="81"/>
            <rFont val="Geneva"/>
          </rPr>
          <t>Author:</t>
        </r>
        <r>
          <rPr>
            <sz val="9"/>
            <color indexed="81"/>
            <rFont val="Geneva"/>
          </rPr>
          <t xml:space="preserve">
This section converts R&amp;D expenses from operating to capital expenses. It makes the appropriate adjustments to operating income, net income, the book value of assets and the book value of equity.</t>
        </r>
      </text>
    </comment>
    <comment ref="A729" authorId="0" shapeId="0">
      <text>
        <r>
          <rPr>
            <b/>
            <sz val="9"/>
            <color indexed="81"/>
            <rFont val="Geneva"/>
          </rPr>
          <t>Author:</t>
        </r>
        <r>
          <rPr>
            <sz val="9"/>
            <color indexed="81"/>
            <rFont val="Geneva"/>
          </rPr>
          <t xml:space="preserve">
Enter the value of those non-cash assets whose earnings are (and will never) show up as part of operating income. 
The most common non-operating assets are minority holdings in other companies (which are not consoldiated). You can find the book value of these holdings on the balance sheet, but see if you can convert to market value. (I apply a price to book ratio, based on the sector that the company is in to the book value).</t>
        </r>
      </text>
    </comment>
    <comment ref="A735" authorId="0" shapeId="0">
      <text>
        <r>
          <rPr>
            <b/>
            <sz val="9"/>
            <color indexed="81"/>
            <rFont val="Tahoma"/>
            <family val="2"/>
          </rPr>
          <t>Author:</t>
        </r>
        <r>
          <rPr>
            <sz val="9"/>
            <color indexed="81"/>
            <rFont val="Tahoma"/>
            <family val="2"/>
          </rPr>
          <t xml:space="preserve">
Enter the "market" value of minority interests. This is a uniquely accounting item and will be on the liability side of your company's balance sheet. It reflects the requirement that if you own more than 50% of another company or have effective control of it, you have to consolidate that company's statements with yours. Thus, you count 100% of that subsidiaries assets, revenues and operating income with your company, even if you own only 60%. The minority interest reflects the book value of the 40% of the equity in the subsidiary that does not belong to you. Again, it is best if you can convert the book value to a market value by applying the price to book ratio for the sector in which the subsidiary operates</t>
        </r>
      </text>
    </comment>
    <comment ref="A771" authorId="0" shapeId="0">
      <text>
        <r>
          <rPr>
            <b/>
            <sz val="9"/>
            <color indexed="81"/>
            <rFont val="Tahoma"/>
            <family val="2"/>
          </rPr>
          <t>Author:</t>
        </r>
        <r>
          <rPr>
            <sz val="9"/>
            <color indexed="81"/>
            <rFont val="Tahoma"/>
            <family val="2"/>
          </rPr>
          <t xml:space="preserve">
One time Effect</t>
        </r>
      </text>
    </comment>
    <comment ref="A774" authorId="0" shapeId="0">
      <text>
        <r>
          <rPr>
            <b/>
            <sz val="9"/>
            <color indexed="81"/>
            <rFont val="Tahoma"/>
            <family val="2"/>
          </rPr>
          <t>Author:</t>
        </r>
        <r>
          <rPr>
            <sz val="9"/>
            <color indexed="81"/>
            <rFont val="Tahoma"/>
            <family val="2"/>
          </rPr>
          <t xml:space="preserve">
Legal Jeopardy</t>
        </r>
      </text>
    </comment>
    <comment ref="A777" authorId="0" shapeId="0">
      <text>
        <r>
          <rPr>
            <b/>
            <sz val="9"/>
            <color indexed="81"/>
            <rFont val="Tahoma"/>
            <family val="2"/>
          </rPr>
          <t>Author:</t>
        </r>
        <r>
          <rPr>
            <sz val="9"/>
            <color indexed="81"/>
            <rFont val="Tahoma"/>
            <family val="2"/>
          </rPr>
          <t xml:space="preserve">
Revenue Effect</t>
        </r>
      </text>
    </comment>
    <comment ref="A778" authorId="0" shapeId="0">
      <text>
        <r>
          <rPr>
            <b/>
            <sz val="9"/>
            <color indexed="81"/>
            <rFont val="Tahoma"/>
            <family val="2"/>
          </rPr>
          <t>NICO:</t>
        </r>
        <r>
          <rPr>
            <sz val="9"/>
            <color indexed="81"/>
            <rFont val="Tahoma"/>
            <family val="2"/>
          </rPr>
          <t xml:space="preserve">
Lost Operating Income</t>
        </r>
      </text>
    </comment>
    <comment ref="A781" authorId="0" shapeId="0">
      <text>
        <r>
          <rPr>
            <b/>
            <sz val="9"/>
            <color indexed="81"/>
            <rFont val="Tahoma"/>
            <family val="2"/>
          </rPr>
          <t>Author:</t>
        </r>
        <r>
          <rPr>
            <sz val="9"/>
            <color indexed="81"/>
            <rFont val="Tahoma"/>
            <family val="2"/>
          </rPr>
          <t xml:space="preserve">
Companies at either end of the life cycle - young, growth and old, declining firms have a significant likelihood of failure. While we tend to ignore this in conventional DCF, it is worth thinking about whether you want to estimate a probability of failure. It is not easy to do but it can be done by looking at either history (with young, growth companies) or the debt market (with distressed companies).
Many young, growth companies fail, especially if they have trouble raising cash. Many distressed companies fail, because they have trouble making debt payments.</t>
        </r>
      </text>
    </comment>
    <comment ref="A782" authorId="0" shapeId="0">
      <text>
        <r>
          <rPr>
            <b/>
            <sz val="9"/>
            <color indexed="81"/>
            <rFont val="Tahoma"/>
            <family val="2"/>
          </rPr>
          <t>Author:</t>
        </r>
        <r>
          <rPr>
            <sz val="9"/>
            <color indexed="81"/>
            <rFont val="Tahoma"/>
            <family val="2"/>
          </rPr>
          <t xml:space="preserve">
Companies at either end of the life cycle - young, growth and old, declining firms have a significant likelihood of failure. While we tend to ignore this in conventional DCF, it is worth thinking about whether you want to estimate a probability of failure. It is not easy to do but it can be done by looking at either history (with young, growth companies) or the debt market (with distressed companies).
Many young, growth companies fail, especially if they have trouble raising cash. Many distressed companies fail, because they have trouble making debt payments.</t>
        </r>
      </text>
    </comment>
    <comment ref="A783" authorId="0" shapeId="0">
      <text>
        <r>
          <rPr>
            <sz val="9"/>
            <color indexed="81"/>
            <rFont val="Tahoma"/>
            <family val="2"/>
          </rPr>
          <t xml:space="preserve">
Companies at either end of the life cycle - young, growth and old, declining firms have a significant likelihood of failure. While we tend to ignore this in conventional DCF, it is worth thinking about whether you want to estimate a probability of failure. It is not easy to do but it can be done by looking at either history (with young, growth companies) or the debt market (with distressed companies).
If you want to look at ways of estimating this probability, try these papers I have on the topic:
For young growth companies: http://papers.ssrn.com/sol3/papers.cfm?abstract_id=1418687  
For declining, distressed companies: http://papers.ssrn.com/sol3/papers.cfm?abstract_id=1428022 </t>
        </r>
      </text>
    </comment>
    <comment ref="A784" authorId="0" shapeId="0">
      <text>
        <r>
          <rPr>
            <sz val="9"/>
            <color indexed="81"/>
            <rFont val="Tahoma"/>
            <family val="2"/>
          </rPr>
          <t>You will generally not get 100% of fair value. How much less than 100% you get will depend on whether there are lots of potential buyers for your assets and how much of a hurry you are in to liquidate. It may well be zero for a young growth company with no tangible assets.
This can be zero, if the assets will be worth nothing if the firm fails.</t>
        </r>
      </text>
    </comment>
    <comment ref="A785" authorId="0" shapeId="0">
      <text>
        <r>
          <rPr>
            <sz val="9"/>
            <color indexed="81"/>
            <rFont val="Tahoma"/>
            <family val="2"/>
          </rPr>
          <t>What do you want to tie your proceeds in failure to?
If the firm fail and has to liquidate its assets, you need to specify what the liquidation proceeds will be tied to. For young growth companies, it would tie it to value and with distressed firms (especially ones with significant assets in place), we would use book value.
Proceeds if firm fails:
* Book value of capital
1: Book Value of Capital
2: Invested Capital
3: Enterprise Value
4: Fair value of Operating Assets</t>
        </r>
      </text>
    </comment>
    <comment ref="A791" authorId="0" shapeId="0">
      <text>
        <r>
          <rPr>
            <sz val="9"/>
            <color indexed="81"/>
            <rFont val="Tahoma"/>
            <family val="2"/>
          </rPr>
          <t>Percentage of the proceeds that be withdrawn by owners. Assume that the proceeds of the IPO will be retained by the company (for use in future investments).</t>
        </r>
      </text>
    </comment>
    <comment ref="A792" authorId="0" shapeId="0">
      <text>
        <r>
          <rPr>
            <b/>
            <sz val="9"/>
            <color indexed="81"/>
            <rFont val="Geneva"/>
          </rPr>
          <t>Author:</t>
        </r>
        <r>
          <rPr>
            <sz val="9"/>
            <color indexed="81"/>
            <rFont val="Geneva"/>
          </rPr>
          <t xml:space="preserve">
Number of shares that will be sold on offering date. Most likely, not decided by company &amp; bankers yet. Update when offering details set. News reports could provide hints on what the company would like to raise (e.g., $1 billion) from offering.
</t>
        </r>
      </text>
    </comment>
    <comment ref="A797" authorId="0" shapeId="0">
      <text>
        <r>
          <rPr>
            <b/>
            <sz val="9"/>
            <color indexed="81"/>
            <rFont val="Tahoma"/>
            <family val="2"/>
          </rPr>
          <t>Author:</t>
        </r>
        <r>
          <rPr>
            <sz val="9"/>
            <color indexed="81"/>
            <rFont val="Tahoma"/>
            <family val="2"/>
          </rPr>
          <t xml:space="preserve">
Mature companies find it difficult to generate returns that exceed the cost of capital. The default assumption is that competitive advantages will fade to zero over time. While this is a good assumption for many firms (about 7 in 10), there are some firms with sustainable competitive advantages (brand name, for instance), where the excess returns may continue beyond year 10. If your firm is one of those, you can enter a return on capital higher than your cost of capital in the cell below. Just don't get carried away. At the maximum, the excess return should not exceed 5% for a mature firm.</t>
        </r>
      </text>
    </comment>
    <comment ref="A798" authorId="0" shapeId="0">
      <text>
        <r>
          <rPr>
            <b/>
            <sz val="9"/>
            <color indexed="81"/>
            <rFont val="Tahoma"/>
            <family val="2"/>
          </rPr>
          <t>Author:</t>
        </r>
        <r>
          <rPr>
            <sz val="9"/>
            <color indexed="81"/>
            <rFont val="Tahoma"/>
            <family val="2"/>
          </rPr>
          <t xml:space="preserve">
But there are significant exceptions among companies with long-lasting competitive advantages. Even if you believe your firm has significant competitive advantages, don't set this number to more than 5% more than your cost of capital. </t>
        </r>
      </text>
    </comment>
    <comment ref="A799" authorId="0" shapeId="0">
      <text>
        <r>
          <rPr>
            <b/>
            <sz val="9"/>
            <color indexed="81"/>
            <rFont val="Tahoma"/>
            <family val="2"/>
          </rPr>
          <t>Author:</t>
        </r>
        <r>
          <rPr>
            <sz val="9"/>
            <color indexed="81"/>
            <rFont val="Tahoma"/>
            <family val="2"/>
          </rPr>
          <t xml:space="preserve">
Mature companies tend to have costs of capital closer to the market average. While the riskfree rate + 4.5% is a close approximation of the average, you can use a slightly higher number (riskfree rate + 6%) for mature companies in riskier businesses and a slightly lower number (risfree rate + 4%) for safer companies.</t>
        </r>
      </text>
    </comment>
    <comment ref="A800" authorId="0" shapeId="0">
      <text>
        <r>
          <rPr>
            <b/>
            <sz val="9"/>
            <color indexed="81"/>
            <rFont val="Tahoma"/>
            <family val="2"/>
          </rPr>
          <t>Author:</t>
        </r>
        <r>
          <rPr>
            <sz val="9"/>
            <color indexed="81"/>
            <rFont val="Tahoma"/>
            <family val="2"/>
          </rPr>
          <t xml:space="preserve">
A default assumption in DCF valuation is that the company grows at the risk free rate, has a cost of capital Riskfree rate +4.5%, pays the marginal tax rate on earnings, and earns a ROC Cost of capital). I am not suggesting that you need to adopt all of these defaults, but if you do, your terminal value will look as follows.
Mature companies tend to have costs of capital closer to the market average. While the riskfree rate + 4.5% is a close approximation of the average, you can use a slightly higher number (riskfree rate + 6%) for mature companies in riskier businesses and a slightly lower number (risfree rate + 4%) for safer companies.</t>
        </r>
      </text>
    </comment>
    <comment ref="A801" authorId="0" shapeId="0">
      <text>
        <r>
          <rPr>
            <b/>
            <sz val="9"/>
            <color indexed="81"/>
            <rFont val="Tahoma"/>
            <family val="2"/>
          </rPr>
          <t>Author:</t>
        </r>
        <r>
          <rPr>
            <sz val="9"/>
            <color indexed="81"/>
            <rFont val="Tahoma"/>
            <family val="2"/>
          </rPr>
          <t xml:space="preserve">
Though some sectors, even in stable growth, may have higher risk.</t>
        </r>
      </text>
    </comment>
    <comment ref="A803" authorId="0" shapeId="0">
      <text>
        <r>
          <rPr>
            <b/>
            <sz val="9"/>
            <color indexed="81"/>
            <rFont val="Tahoma"/>
            <family val="2"/>
          </rPr>
          <t>Author:</t>
        </r>
        <r>
          <rPr>
            <sz val="9"/>
            <color indexed="81"/>
            <rFont val="Tahoma"/>
            <family val="2"/>
          </rPr>
          <t xml:space="preserve">
If you override this assumption, I will leave the tax rate at your effective tax rate. 
Companies generally pay less than the marginal tax rate on their income. Some of that is due to tax deferral and others to quirks in the tax law. Over time, the conservative assumption is to require the tax rate to move towards the marginal tax rate. However, if you believe that your firm's tax benefits are permanent, you can override this assumption.
</t>
        </r>
      </text>
    </comment>
    <comment ref="A807" authorId="0" shapeId="0">
      <text>
        <r>
          <rPr>
            <b/>
            <sz val="9"/>
            <color indexed="81"/>
            <rFont val="Tahoma"/>
            <family val="2"/>
          </rPr>
          <t>Author:</t>
        </r>
        <r>
          <rPr>
            <sz val="9"/>
            <color indexed="81"/>
            <rFont val="Tahoma"/>
            <family val="2"/>
          </rPr>
          <t xml:space="preserve">
Length of the period that you will be able to maintain high growth before becoming stable growth firm.</t>
        </r>
      </text>
    </comment>
    <comment ref="A808" authorId="0" shapeId="0">
      <text>
        <r>
          <rPr>
            <b/>
            <sz val="9"/>
            <color indexed="81"/>
            <rFont val="Tahoma"/>
            <family val="2"/>
          </rPr>
          <t>Author:</t>
        </r>
        <r>
          <rPr>
            <sz val="9"/>
            <color indexed="81"/>
            <rFont val="Tahoma"/>
            <family val="2"/>
          </rPr>
          <t xml:space="preserve">
Enter the current cost of capital for your firm. If you don't know what it is, you can use the weighted avg. cost of capital section.</t>
        </r>
      </text>
    </comment>
    <comment ref="A809" authorId="0" shapeId="0">
      <text>
        <r>
          <rPr>
            <b/>
            <sz val="9"/>
            <color indexed="81"/>
            <rFont val="Tahoma"/>
            <family val="2"/>
          </rPr>
          <t>Author:</t>
        </r>
        <r>
          <rPr>
            <sz val="9"/>
            <color indexed="81"/>
            <rFont val="Tahoma"/>
            <family val="2"/>
          </rPr>
          <t xml:space="preserve">
You are probably wondering what this is but it is how I compute how much you are going to reinvest to keep your business growing in future years. The higher you set this number, the more efficiently you are growing and the higher the value of your growth. Again, look at your company's current number. Look at the industry averages as well.</t>
        </r>
      </text>
    </comment>
    <comment ref="A810" authorId="0" shapeId="0">
      <text>
        <r>
          <rPr>
            <b/>
            <sz val="9"/>
            <color indexed="81"/>
            <rFont val="Tahoma"/>
            <family val="2"/>
          </rPr>
          <t>Author:</t>
        </r>
        <r>
          <rPr>
            <sz val="9"/>
            <color indexed="81"/>
            <rFont val="Tahoma"/>
            <family val="2"/>
          </rPr>
          <t xml:space="preserve">
You should start by looking at your company's current pre-tax operating margin  but also look at the average for your industry. (You can check estimates of industry averages)</t>
        </r>
      </text>
    </comment>
    <comment ref="A811" authorId="0" shapeId="0">
      <text>
        <r>
          <rPr>
            <b/>
            <sz val="9"/>
            <color indexed="81"/>
            <rFont val="Tahoma"/>
            <family val="2"/>
          </rPr>
          <t>Author:</t>
        </r>
        <r>
          <rPr>
            <sz val="9"/>
            <color indexed="81"/>
            <rFont val="Tahoma"/>
            <family val="2"/>
          </rPr>
          <t xml:space="preserve">
I don't have a crystal ball but you should look at 
a. Revenue growth in your company in recent years
b. Your company's revenues, relative to the overall market size and larger players in the sector. 
Suggestion: Check your revenues in year 10 against the overall market and see what market share are you giving your company. Check your company's revenues against other companies in the sector.
Note that this number can be negative for a declining firm.</t>
        </r>
      </text>
    </comment>
    <comment ref="A814" authorId="0" shapeId="0">
      <text>
        <r>
          <rPr>
            <b/>
            <sz val="9"/>
            <color indexed="81"/>
            <rFont val="Tahoma"/>
            <family val="2"/>
          </rPr>
          <t>Author:</t>
        </r>
        <r>
          <rPr>
            <sz val="9"/>
            <color indexed="81"/>
            <rFont val="Tahoma"/>
            <family val="2"/>
          </rPr>
          <t xml:space="preserve">
If you are using trailing 12-month data, it is best if the last year is the 12-month period just prior to the one that you are using. Thus, if you are looking at June 2011-June 2012, your trailing 12 month for the income statement numbers will be June 2010-June 2011 and your balance sheet numbers should be as of June 2011.</t>
        </r>
      </text>
    </comment>
    <comment ref="B815" authorId="0" shapeId="0">
      <text>
        <r>
          <rPr>
            <b/>
            <sz val="9"/>
            <color indexed="81"/>
            <rFont val="Tahoma"/>
            <family val="2"/>
          </rPr>
          <t>Author:</t>
        </r>
        <r>
          <rPr>
            <sz val="9"/>
            <color indexed="81"/>
            <rFont val="Tahoma"/>
            <family val="2"/>
          </rPr>
          <t xml:space="preserve">
assume reinvestment rate t1</t>
        </r>
      </text>
    </comment>
    <comment ref="C815" authorId="0" shapeId="0">
      <text>
        <r>
          <rPr>
            <b/>
            <sz val="9"/>
            <color indexed="81"/>
            <rFont val="Tahoma"/>
            <family val="2"/>
          </rPr>
          <t>Author:</t>
        </r>
        <r>
          <rPr>
            <sz val="9"/>
            <color indexed="81"/>
            <rFont val="Tahoma"/>
            <family val="2"/>
          </rPr>
          <t xml:space="preserve">
assume reinvestment rate t1</t>
        </r>
      </text>
    </comment>
    <comment ref="D815" authorId="0" shapeId="0">
      <text>
        <r>
          <rPr>
            <b/>
            <sz val="9"/>
            <color indexed="81"/>
            <rFont val="Tahoma"/>
            <family val="2"/>
          </rPr>
          <t>Author:</t>
        </r>
        <r>
          <rPr>
            <sz val="9"/>
            <color indexed="81"/>
            <rFont val="Tahoma"/>
            <family val="2"/>
          </rPr>
          <t xml:space="preserve">
assume reinvestment rate t1</t>
        </r>
      </text>
    </comment>
    <comment ref="E815" authorId="0" shapeId="0">
      <text>
        <r>
          <rPr>
            <b/>
            <sz val="9"/>
            <color indexed="81"/>
            <rFont val="Tahoma"/>
            <family val="2"/>
          </rPr>
          <t>Author:</t>
        </r>
        <r>
          <rPr>
            <sz val="9"/>
            <color indexed="81"/>
            <rFont val="Tahoma"/>
            <family val="2"/>
          </rPr>
          <t xml:space="preserve">
assume reinvestment rate t1</t>
        </r>
      </text>
    </comment>
    <comment ref="F815" authorId="0" shapeId="0">
      <text>
        <r>
          <rPr>
            <b/>
            <sz val="9"/>
            <color indexed="81"/>
            <rFont val="Tahoma"/>
            <family val="2"/>
          </rPr>
          <t>Author:</t>
        </r>
        <r>
          <rPr>
            <sz val="9"/>
            <color indexed="81"/>
            <rFont val="Tahoma"/>
            <family val="2"/>
          </rPr>
          <t xml:space="preserve">
assume reinvestment rate t1</t>
        </r>
      </text>
    </comment>
    <comment ref="G815" authorId="0" shapeId="0">
      <text>
        <r>
          <rPr>
            <b/>
            <sz val="9"/>
            <color indexed="81"/>
            <rFont val="Tahoma"/>
            <family val="2"/>
          </rPr>
          <t>Author:</t>
        </r>
        <r>
          <rPr>
            <sz val="9"/>
            <color indexed="81"/>
            <rFont val="Tahoma"/>
            <family val="2"/>
          </rPr>
          <t xml:space="preserve">
assume reinvestment rate t1</t>
        </r>
      </text>
    </comment>
    <comment ref="H815" authorId="0" shapeId="0">
      <text>
        <r>
          <rPr>
            <b/>
            <sz val="9"/>
            <color indexed="81"/>
            <rFont val="Tahoma"/>
            <family val="2"/>
          </rPr>
          <t>Author:</t>
        </r>
        <r>
          <rPr>
            <sz val="9"/>
            <color indexed="81"/>
            <rFont val="Tahoma"/>
            <family val="2"/>
          </rPr>
          <t xml:space="preserve">
assume reinvestment rate t1</t>
        </r>
      </text>
    </comment>
    <comment ref="I815" authorId="0" shapeId="0">
      <text>
        <r>
          <rPr>
            <b/>
            <sz val="9"/>
            <color indexed="81"/>
            <rFont val="Tahoma"/>
            <family val="2"/>
          </rPr>
          <t>Author:</t>
        </r>
        <r>
          <rPr>
            <sz val="9"/>
            <color indexed="81"/>
            <rFont val="Tahoma"/>
            <family val="2"/>
          </rPr>
          <t xml:space="preserve">
assume reinvestment rate t1</t>
        </r>
      </text>
    </comment>
    <comment ref="J815" authorId="0" shapeId="0">
      <text>
        <r>
          <rPr>
            <b/>
            <sz val="9"/>
            <color indexed="81"/>
            <rFont val="Tahoma"/>
            <family val="2"/>
          </rPr>
          <t>Author:</t>
        </r>
        <r>
          <rPr>
            <sz val="9"/>
            <color indexed="81"/>
            <rFont val="Tahoma"/>
            <family val="2"/>
          </rPr>
          <t xml:space="preserve">
assume reinvestment rate t1</t>
        </r>
      </text>
    </comment>
    <comment ref="K815" authorId="0" shapeId="0">
      <text>
        <r>
          <rPr>
            <b/>
            <sz val="9"/>
            <color indexed="81"/>
            <rFont val="Tahoma"/>
            <family val="2"/>
          </rPr>
          <t>Author:</t>
        </r>
        <r>
          <rPr>
            <sz val="9"/>
            <color indexed="81"/>
            <rFont val="Tahoma"/>
            <family val="2"/>
          </rPr>
          <t xml:space="preserve">
assume reinvestment rate t1</t>
        </r>
      </text>
    </comment>
    <comment ref="L815" authorId="0" shapeId="0">
      <text>
        <r>
          <rPr>
            <b/>
            <sz val="9"/>
            <color indexed="81"/>
            <rFont val="Tahoma"/>
            <family val="2"/>
          </rPr>
          <t>Author:</t>
        </r>
        <r>
          <rPr>
            <sz val="9"/>
            <color indexed="81"/>
            <rFont val="Tahoma"/>
            <family val="2"/>
          </rPr>
          <t xml:space="preserve">
assume reinvestment rate t1</t>
        </r>
      </text>
    </comment>
    <comment ref="M815" authorId="0" shapeId="0">
      <text>
        <r>
          <rPr>
            <b/>
            <sz val="9"/>
            <color indexed="81"/>
            <rFont val="Tahoma"/>
            <family val="2"/>
          </rPr>
          <t>Author:</t>
        </r>
        <r>
          <rPr>
            <sz val="9"/>
            <color indexed="81"/>
            <rFont val="Tahoma"/>
            <family val="2"/>
          </rPr>
          <t xml:space="preserve">
assume reinvestment rate t1</t>
        </r>
      </text>
    </comment>
    <comment ref="A816" authorId="0" shapeId="0">
      <text>
        <r>
          <rPr>
            <b/>
            <sz val="9"/>
            <color indexed="81"/>
            <rFont val="Tahoma"/>
            <family val="2"/>
          </rPr>
          <t>Author:</t>
        </r>
        <r>
          <rPr>
            <sz val="9"/>
            <color indexed="81"/>
            <rFont val="Tahoma"/>
            <family val="2"/>
          </rPr>
          <t xml:space="preserve">
This is the NOL from prior years carried forward into year 1.
If your company has been losing money for a while, there will be accumulated losses from prior periods. Check your financial statements.
An NOL will shield your income from taxes, even after you start making money. 
If equals to zero then I will assume that you have no losses carried forward from prior years ( NOL) coming into the valuation. If you have a money losing company, you may want to override tis.</t>
        </r>
      </text>
    </comment>
    <comment ref="A817" authorId="0" shapeId="0">
      <text>
        <r>
          <rPr>
            <b/>
            <sz val="9"/>
            <color indexed="81"/>
            <rFont val="Tahoma"/>
            <family val="2"/>
          </rPr>
          <t>Author:</t>
        </r>
        <r>
          <rPr>
            <sz val="9"/>
            <color indexed="81"/>
            <rFont val="Tahoma"/>
            <family val="2"/>
          </rPr>
          <t xml:space="preserve">
Enter your effective (not marginal) tax rate for your firm. You will find this in your company's annual report. If you cannot, you can compute it as follows, from the income statement:
Effective tax rate = Taxes paid/ Taxable income
If your effective tax rate varies across years, you can use an average.</t>
        </r>
      </text>
    </comment>
    <comment ref="A818" authorId="0" shapeId="0">
      <text>
        <r>
          <rPr>
            <b/>
            <sz val="9"/>
            <color indexed="81"/>
            <rFont val="Tahoma"/>
            <family val="2"/>
          </rPr>
          <t>Author:</t>
        </r>
        <r>
          <rPr>
            <sz val="9"/>
            <color indexed="81"/>
            <rFont val="Tahoma"/>
            <family val="2"/>
          </rPr>
          <t xml:space="preserve">
This is a statutory tax rate. I use the tax rate of the country the company is domiciled in. </t>
        </r>
      </text>
    </comment>
    <comment ref="A819" authorId="0" shapeId="0">
      <text>
        <r>
          <rPr>
            <b/>
            <sz val="9"/>
            <color indexed="81"/>
            <rFont val="Tahoma"/>
            <family val="2"/>
          </rPr>
          <t>Author:</t>
        </r>
        <r>
          <rPr>
            <sz val="9"/>
            <color indexed="81"/>
            <rFont val="Tahoma"/>
            <family val="2"/>
          </rPr>
          <t xml:space="preserve">
Enter the operating income or EBIT from the most recent time period, even if that number is negative. If you have operating leases, enter the adjusted operating income (see the operating lease worksheet for the amount you have to adjust operating income by).
Don't adjust operating income for leases or R&amp;D, if you plan to use the option to do so. (see below)</t>
        </r>
      </text>
    </comment>
    <comment ref="A820" authorId="0" shapeId="0">
      <text>
        <r>
          <rPr>
            <b/>
            <sz val="9"/>
            <color indexed="81"/>
            <rFont val="Tahoma"/>
            <family val="2"/>
          </rPr>
          <t>Author:</t>
        </r>
        <r>
          <rPr>
            <sz val="9"/>
            <color indexed="81"/>
            <rFont val="Tahoma"/>
            <family val="2"/>
          </rPr>
          <t xml:space="preserve">
Enter the revenues from the most recent period (you can either use annual or the trailing 12 months). If your company had no revenues, enter a very small positive number. (You need a base for your growth rate)</t>
        </r>
      </text>
    </comment>
    <comment ref="A823" authorId="0" shapeId="0">
      <text>
        <r>
          <rPr>
            <b/>
            <sz val="9"/>
            <color indexed="81"/>
            <rFont val="Tahoma"/>
            <family val="2"/>
          </rPr>
          <t>Author:</t>
        </r>
        <r>
          <rPr>
            <sz val="9"/>
            <color indexed="81"/>
            <rFont val="Tahoma"/>
            <family val="2"/>
          </rPr>
          <t xml:space="preserve">
If equal to zero then I assume that none of the cash is trapped (in foreign countries) and that there is no additional tax liability coming due</t>
        </r>
      </text>
    </comment>
    <comment ref="A824" authorId="0" shapeId="0">
      <text>
        <r>
          <rPr>
            <b/>
            <sz val="9"/>
            <color indexed="81"/>
            <rFont val="Tahoma"/>
            <family val="2"/>
          </rPr>
          <t>Author:</t>
        </r>
        <r>
          <rPr>
            <sz val="9"/>
            <color indexed="81"/>
            <rFont val="Tahoma"/>
            <family val="2"/>
          </rPr>
          <t xml:space="preserve">
where the cash is trapped</t>
        </r>
      </text>
    </comment>
    <comment ref="A828" authorId="0" shapeId="0">
      <text>
        <r>
          <rPr>
            <b/>
            <sz val="9"/>
            <color indexed="81"/>
            <rFont val="Geneva"/>
          </rPr>
          <t>Author:</t>
        </r>
        <r>
          <rPr>
            <sz val="9"/>
            <color indexed="81"/>
            <rFont val="Geneva"/>
          </rPr>
          <t xml:space="preserve">
Use a sector average unlevered beta (adjusted for cash) if need be. If you are in multiple businesses, you can construct your own weighted averages using the industry average table from this spreadsheet and your company's business breakdown.</t>
        </r>
      </text>
    </comment>
    <comment ref="A829" authorId="0" shapeId="0">
      <text>
        <r>
          <rPr>
            <b/>
            <sz val="9"/>
            <color indexed="81"/>
            <rFont val="Geneva"/>
          </rPr>
          <t>Author:</t>
        </r>
        <r>
          <rPr>
            <sz val="9"/>
            <color indexed="81"/>
            <rFont val="Geneva"/>
          </rPr>
          <t xml:space="preserve">
You can use either the historical premium or the implied premium  or an augmented premium for country risk.
If the company has risk exposure in emergiing markets, incorporate that risk premiums here</t>
        </r>
      </text>
    </comment>
    <comment ref="B832" authorId="0" shapeId="0">
      <text>
        <r>
          <rPr>
            <b/>
            <sz val="9"/>
            <color indexed="81"/>
            <rFont val="Tahoma"/>
            <family val="2"/>
          </rPr>
          <t>Author:</t>
        </r>
        <r>
          <rPr>
            <sz val="9"/>
            <color indexed="81"/>
            <rFont val="Tahoma"/>
            <family val="2"/>
          </rPr>
          <t xml:space="preserve">
Computers/Peripherals</t>
        </r>
      </text>
    </comment>
    <comment ref="C832" authorId="0" shapeId="0">
      <text>
        <r>
          <rPr>
            <b/>
            <sz val="9"/>
            <color indexed="81"/>
            <rFont val="Tahoma"/>
            <family val="2"/>
          </rPr>
          <t>Author:</t>
        </r>
        <r>
          <rPr>
            <sz val="9"/>
            <color indexed="81"/>
            <rFont val="Tahoma"/>
            <family val="2"/>
          </rPr>
          <t xml:space="preserve">
Computers/Peripherals</t>
        </r>
      </text>
    </comment>
    <comment ref="D832" authorId="0" shapeId="0">
      <text>
        <r>
          <rPr>
            <b/>
            <sz val="9"/>
            <color indexed="81"/>
            <rFont val="Tahoma"/>
            <family val="2"/>
          </rPr>
          <t>Author:</t>
        </r>
        <r>
          <rPr>
            <sz val="9"/>
            <color indexed="81"/>
            <rFont val="Tahoma"/>
            <family val="2"/>
          </rPr>
          <t xml:space="preserve">
Computers/Peripherals</t>
        </r>
      </text>
    </comment>
    <comment ref="E832" authorId="0" shapeId="0">
      <text>
        <r>
          <rPr>
            <b/>
            <sz val="9"/>
            <color indexed="81"/>
            <rFont val="Tahoma"/>
            <family val="2"/>
          </rPr>
          <t>Author:</t>
        </r>
        <r>
          <rPr>
            <sz val="9"/>
            <color indexed="81"/>
            <rFont val="Tahoma"/>
            <family val="2"/>
          </rPr>
          <t xml:space="preserve">
Computers/Peripherals</t>
        </r>
      </text>
    </comment>
    <comment ref="F832" authorId="0" shapeId="0">
      <text>
        <r>
          <rPr>
            <b/>
            <sz val="9"/>
            <color indexed="81"/>
            <rFont val="Tahoma"/>
            <family val="2"/>
          </rPr>
          <t>Author:</t>
        </r>
        <r>
          <rPr>
            <sz val="9"/>
            <color indexed="81"/>
            <rFont val="Tahoma"/>
            <family val="2"/>
          </rPr>
          <t xml:space="preserve">
Computers/Peripherals</t>
        </r>
      </text>
    </comment>
    <comment ref="G832" authorId="0" shapeId="0">
      <text>
        <r>
          <rPr>
            <b/>
            <sz val="9"/>
            <color indexed="81"/>
            <rFont val="Tahoma"/>
            <family val="2"/>
          </rPr>
          <t>Author:</t>
        </r>
        <r>
          <rPr>
            <sz val="9"/>
            <color indexed="81"/>
            <rFont val="Tahoma"/>
            <family val="2"/>
          </rPr>
          <t xml:space="preserve">
Computers/Peripherals</t>
        </r>
      </text>
    </comment>
    <comment ref="H832" authorId="0" shapeId="0">
      <text>
        <r>
          <rPr>
            <b/>
            <sz val="9"/>
            <color indexed="81"/>
            <rFont val="Tahoma"/>
            <family val="2"/>
          </rPr>
          <t>Author:</t>
        </r>
        <r>
          <rPr>
            <sz val="9"/>
            <color indexed="81"/>
            <rFont val="Tahoma"/>
            <family val="2"/>
          </rPr>
          <t xml:space="preserve">
Computers/Peripherals</t>
        </r>
      </text>
    </comment>
    <comment ref="I832" authorId="0" shapeId="0">
      <text>
        <r>
          <rPr>
            <b/>
            <sz val="9"/>
            <color indexed="81"/>
            <rFont val="Tahoma"/>
            <family val="2"/>
          </rPr>
          <t>Author:</t>
        </r>
        <r>
          <rPr>
            <sz val="9"/>
            <color indexed="81"/>
            <rFont val="Tahoma"/>
            <family val="2"/>
          </rPr>
          <t xml:space="preserve">
Computers/Peripherals</t>
        </r>
      </text>
    </comment>
    <comment ref="J832" authorId="0" shapeId="0">
      <text>
        <r>
          <rPr>
            <b/>
            <sz val="9"/>
            <color indexed="81"/>
            <rFont val="Tahoma"/>
            <family val="2"/>
          </rPr>
          <t>Author:</t>
        </r>
        <r>
          <rPr>
            <sz val="9"/>
            <color indexed="81"/>
            <rFont val="Tahoma"/>
            <family val="2"/>
          </rPr>
          <t xml:space="preserve">
Computers/Peripherals</t>
        </r>
      </text>
    </comment>
    <comment ref="K832" authorId="0" shapeId="0">
      <text>
        <r>
          <rPr>
            <b/>
            <sz val="9"/>
            <color indexed="81"/>
            <rFont val="Tahoma"/>
            <family val="2"/>
          </rPr>
          <t>Author:</t>
        </r>
        <r>
          <rPr>
            <sz val="9"/>
            <color indexed="81"/>
            <rFont val="Tahoma"/>
            <family val="2"/>
          </rPr>
          <t xml:space="preserve">
Computers/Peripherals</t>
        </r>
      </text>
    </comment>
    <comment ref="L832" authorId="0" shapeId="0">
      <text>
        <r>
          <rPr>
            <b/>
            <sz val="9"/>
            <color indexed="81"/>
            <rFont val="Tahoma"/>
            <family val="2"/>
          </rPr>
          <t>Author:</t>
        </r>
        <r>
          <rPr>
            <sz val="9"/>
            <color indexed="81"/>
            <rFont val="Tahoma"/>
            <family val="2"/>
          </rPr>
          <t xml:space="preserve">
Computers/Peripherals</t>
        </r>
      </text>
    </comment>
    <comment ref="M832" authorId="0" shapeId="0">
      <text>
        <r>
          <rPr>
            <b/>
            <sz val="9"/>
            <color indexed="81"/>
            <rFont val="Tahoma"/>
            <family val="2"/>
          </rPr>
          <t>Author:</t>
        </r>
        <r>
          <rPr>
            <sz val="9"/>
            <color indexed="81"/>
            <rFont val="Tahoma"/>
            <family val="2"/>
          </rPr>
          <t xml:space="preserve">
Computers/Peripherals</t>
        </r>
      </text>
    </comment>
    <comment ref="B833" authorId="0" shapeId="0">
      <text>
        <r>
          <rPr>
            <b/>
            <sz val="9"/>
            <color indexed="81"/>
            <rFont val="Tahoma"/>
            <family val="2"/>
          </rPr>
          <t>Author:</t>
        </r>
        <r>
          <rPr>
            <sz val="9"/>
            <color indexed="81"/>
            <rFont val="Tahoma"/>
            <family val="2"/>
          </rPr>
          <t xml:space="preserve">
Electronics (General)</t>
        </r>
      </text>
    </comment>
    <comment ref="C833" authorId="0" shapeId="0">
      <text>
        <r>
          <rPr>
            <b/>
            <sz val="9"/>
            <color indexed="81"/>
            <rFont val="Tahoma"/>
            <family val="2"/>
          </rPr>
          <t>Author:</t>
        </r>
        <r>
          <rPr>
            <sz val="9"/>
            <color indexed="81"/>
            <rFont val="Tahoma"/>
            <family val="2"/>
          </rPr>
          <t xml:space="preserve">
Electronics (General)</t>
        </r>
      </text>
    </comment>
    <comment ref="D833" authorId="0" shapeId="0">
      <text>
        <r>
          <rPr>
            <b/>
            <sz val="9"/>
            <color indexed="81"/>
            <rFont val="Tahoma"/>
            <family val="2"/>
          </rPr>
          <t>Author:</t>
        </r>
        <r>
          <rPr>
            <sz val="9"/>
            <color indexed="81"/>
            <rFont val="Tahoma"/>
            <family val="2"/>
          </rPr>
          <t xml:space="preserve">
Electronics (General)</t>
        </r>
      </text>
    </comment>
    <comment ref="E833" authorId="0" shapeId="0">
      <text>
        <r>
          <rPr>
            <b/>
            <sz val="9"/>
            <color indexed="81"/>
            <rFont val="Tahoma"/>
            <family val="2"/>
          </rPr>
          <t>Author:</t>
        </r>
        <r>
          <rPr>
            <sz val="9"/>
            <color indexed="81"/>
            <rFont val="Tahoma"/>
            <family val="2"/>
          </rPr>
          <t xml:space="preserve">
Electronics (General)</t>
        </r>
      </text>
    </comment>
    <comment ref="F833" authorId="0" shapeId="0">
      <text>
        <r>
          <rPr>
            <b/>
            <sz val="9"/>
            <color indexed="81"/>
            <rFont val="Tahoma"/>
            <family val="2"/>
          </rPr>
          <t>Author:</t>
        </r>
        <r>
          <rPr>
            <sz val="9"/>
            <color indexed="81"/>
            <rFont val="Tahoma"/>
            <family val="2"/>
          </rPr>
          <t xml:space="preserve">
Electronics (General)</t>
        </r>
      </text>
    </comment>
    <comment ref="G833" authorId="0" shapeId="0">
      <text>
        <r>
          <rPr>
            <b/>
            <sz val="9"/>
            <color indexed="81"/>
            <rFont val="Tahoma"/>
            <family val="2"/>
          </rPr>
          <t>Author:</t>
        </r>
        <r>
          <rPr>
            <sz val="9"/>
            <color indexed="81"/>
            <rFont val="Tahoma"/>
            <family val="2"/>
          </rPr>
          <t xml:space="preserve">
Electronics (General)</t>
        </r>
      </text>
    </comment>
    <comment ref="H833" authorId="0" shapeId="0">
      <text>
        <r>
          <rPr>
            <b/>
            <sz val="9"/>
            <color indexed="81"/>
            <rFont val="Tahoma"/>
            <family val="2"/>
          </rPr>
          <t>Author:</t>
        </r>
        <r>
          <rPr>
            <sz val="9"/>
            <color indexed="81"/>
            <rFont val="Tahoma"/>
            <family val="2"/>
          </rPr>
          <t xml:space="preserve">
Electronics (General)</t>
        </r>
      </text>
    </comment>
    <comment ref="I833" authorId="0" shapeId="0">
      <text>
        <r>
          <rPr>
            <b/>
            <sz val="9"/>
            <color indexed="81"/>
            <rFont val="Tahoma"/>
            <family val="2"/>
          </rPr>
          <t>Author:</t>
        </r>
        <r>
          <rPr>
            <sz val="9"/>
            <color indexed="81"/>
            <rFont val="Tahoma"/>
            <family val="2"/>
          </rPr>
          <t xml:space="preserve">
Electronics (General)</t>
        </r>
      </text>
    </comment>
    <comment ref="J833" authorId="0" shapeId="0">
      <text>
        <r>
          <rPr>
            <b/>
            <sz val="9"/>
            <color indexed="81"/>
            <rFont val="Tahoma"/>
            <family val="2"/>
          </rPr>
          <t>Author:</t>
        </r>
        <r>
          <rPr>
            <sz val="9"/>
            <color indexed="81"/>
            <rFont val="Tahoma"/>
            <family val="2"/>
          </rPr>
          <t xml:space="preserve">
Electronics (General)</t>
        </r>
      </text>
    </comment>
    <comment ref="K833" authorId="0" shapeId="0">
      <text>
        <r>
          <rPr>
            <b/>
            <sz val="9"/>
            <color indexed="81"/>
            <rFont val="Tahoma"/>
            <family val="2"/>
          </rPr>
          <t>Author:</t>
        </r>
        <r>
          <rPr>
            <sz val="9"/>
            <color indexed="81"/>
            <rFont val="Tahoma"/>
            <family val="2"/>
          </rPr>
          <t xml:space="preserve">
Electronics (General)</t>
        </r>
      </text>
    </comment>
    <comment ref="L833" authorId="0" shapeId="0">
      <text>
        <r>
          <rPr>
            <b/>
            <sz val="9"/>
            <color indexed="81"/>
            <rFont val="Tahoma"/>
            <family val="2"/>
          </rPr>
          <t>Author:</t>
        </r>
        <r>
          <rPr>
            <sz val="9"/>
            <color indexed="81"/>
            <rFont val="Tahoma"/>
            <family val="2"/>
          </rPr>
          <t xml:space="preserve">
Electronics (General)</t>
        </r>
      </text>
    </comment>
    <comment ref="M833" authorId="0" shapeId="0">
      <text>
        <r>
          <rPr>
            <b/>
            <sz val="9"/>
            <color indexed="81"/>
            <rFont val="Tahoma"/>
            <family val="2"/>
          </rPr>
          <t>Author:</t>
        </r>
        <r>
          <rPr>
            <sz val="9"/>
            <color indexed="81"/>
            <rFont val="Tahoma"/>
            <family val="2"/>
          </rPr>
          <t xml:space="preserve">
Electronics (General)</t>
        </r>
      </text>
    </comment>
    <comment ref="B834" authorId="0" shapeId="0">
      <text>
        <r>
          <rPr>
            <b/>
            <sz val="9"/>
            <color indexed="81"/>
            <rFont val="Tahoma"/>
            <family val="2"/>
          </rPr>
          <t>Author:</t>
        </r>
        <r>
          <rPr>
            <sz val="9"/>
            <color indexed="81"/>
            <rFont val="Tahoma"/>
            <family val="2"/>
          </rPr>
          <t xml:space="preserve">
Retail (Special Lines)</t>
        </r>
      </text>
    </comment>
    <comment ref="C834" authorId="0" shapeId="0">
      <text>
        <r>
          <rPr>
            <b/>
            <sz val="9"/>
            <color indexed="81"/>
            <rFont val="Tahoma"/>
            <family val="2"/>
          </rPr>
          <t>Author:</t>
        </r>
        <r>
          <rPr>
            <sz val="9"/>
            <color indexed="81"/>
            <rFont val="Tahoma"/>
            <family val="2"/>
          </rPr>
          <t xml:space="preserve">
Retail (Special Lines)</t>
        </r>
      </text>
    </comment>
    <comment ref="D834" authorId="0" shapeId="0">
      <text>
        <r>
          <rPr>
            <b/>
            <sz val="9"/>
            <color indexed="81"/>
            <rFont val="Tahoma"/>
            <family val="2"/>
          </rPr>
          <t>Author:</t>
        </r>
        <r>
          <rPr>
            <sz val="9"/>
            <color indexed="81"/>
            <rFont val="Tahoma"/>
            <family val="2"/>
          </rPr>
          <t xml:space="preserve">
Retail (Special Lines)</t>
        </r>
      </text>
    </comment>
    <comment ref="E834" authorId="0" shapeId="0">
      <text>
        <r>
          <rPr>
            <b/>
            <sz val="9"/>
            <color indexed="81"/>
            <rFont val="Tahoma"/>
            <family val="2"/>
          </rPr>
          <t>Author:</t>
        </r>
        <r>
          <rPr>
            <sz val="9"/>
            <color indexed="81"/>
            <rFont val="Tahoma"/>
            <family val="2"/>
          </rPr>
          <t xml:space="preserve">
Retail (Special Lines)</t>
        </r>
      </text>
    </comment>
    <comment ref="F834" authorId="0" shapeId="0">
      <text>
        <r>
          <rPr>
            <b/>
            <sz val="9"/>
            <color indexed="81"/>
            <rFont val="Tahoma"/>
            <family val="2"/>
          </rPr>
          <t>Author:</t>
        </r>
        <r>
          <rPr>
            <sz val="9"/>
            <color indexed="81"/>
            <rFont val="Tahoma"/>
            <family val="2"/>
          </rPr>
          <t xml:space="preserve">
Retail (Special Lines)</t>
        </r>
      </text>
    </comment>
    <comment ref="G834" authorId="0" shapeId="0">
      <text>
        <r>
          <rPr>
            <b/>
            <sz val="9"/>
            <color indexed="81"/>
            <rFont val="Tahoma"/>
            <family val="2"/>
          </rPr>
          <t>Author:</t>
        </r>
        <r>
          <rPr>
            <sz val="9"/>
            <color indexed="81"/>
            <rFont val="Tahoma"/>
            <family val="2"/>
          </rPr>
          <t xml:space="preserve">
Retail (Special Lines)</t>
        </r>
      </text>
    </comment>
    <comment ref="H834" authorId="0" shapeId="0">
      <text>
        <r>
          <rPr>
            <b/>
            <sz val="9"/>
            <color indexed="81"/>
            <rFont val="Tahoma"/>
            <family val="2"/>
          </rPr>
          <t>Author:</t>
        </r>
        <r>
          <rPr>
            <sz val="9"/>
            <color indexed="81"/>
            <rFont val="Tahoma"/>
            <family val="2"/>
          </rPr>
          <t xml:space="preserve">
Retail (Special Lines)</t>
        </r>
      </text>
    </comment>
    <comment ref="I834" authorId="0" shapeId="0">
      <text>
        <r>
          <rPr>
            <b/>
            <sz val="9"/>
            <color indexed="81"/>
            <rFont val="Tahoma"/>
            <family val="2"/>
          </rPr>
          <t>Author:</t>
        </r>
        <r>
          <rPr>
            <sz val="9"/>
            <color indexed="81"/>
            <rFont val="Tahoma"/>
            <family val="2"/>
          </rPr>
          <t xml:space="preserve">
Retail (Special Lines)</t>
        </r>
      </text>
    </comment>
    <comment ref="J834" authorId="0" shapeId="0">
      <text>
        <r>
          <rPr>
            <b/>
            <sz val="9"/>
            <color indexed="81"/>
            <rFont val="Tahoma"/>
            <family val="2"/>
          </rPr>
          <t>Author:</t>
        </r>
        <r>
          <rPr>
            <sz val="9"/>
            <color indexed="81"/>
            <rFont val="Tahoma"/>
            <family val="2"/>
          </rPr>
          <t xml:space="preserve">
Retail (Special Lines)</t>
        </r>
      </text>
    </comment>
    <comment ref="K834" authorId="0" shapeId="0">
      <text>
        <r>
          <rPr>
            <b/>
            <sz val="9"/>
            <color indexed="81"/>
            <rFont val="Tahoma"/>
            <family val="2"/>
          </rPr>
          <t>Author:</t>
        </r>
        <r>
          <rPr>
            <sz val="9"/>
            <color indexed="81"/>
            <rFont val="Tahoma"/>
            <family val="2"/>
          </rPr>
          <t xml:space="preserve">
Retail (Special Lines)</t>
        </r>
      </text>
    </comment>
    <comment ref="L834" authorId="0" shapeId="0">
      <text>
        <r>
          <rPr>
            <b/>
            <sz val="9"/>
            <color indexed="81"/>
            <rFont val="Tahoma"/>
            <family val="2"/>
          </rPr>
          <t>Author:</t>
        </r>
        <r>
          <rPr>
            <sz val="9"/>
            <color indexed="81"/>
            <rFont val="Tahoma"/>
            <family val="2"/>
          </rPr>
          <t xml:space="preserve">
Retail (Special Lines)</t>
        </r>
      </text>
    </comment>
    <comment ref="M834" authorId="0" shapeId="0">
      <text>
        <r>
          <rPr>
            <b/>
            <sz val="9"/>
            <color indexed="81"/>
            <rFont val="Tahoma"/>
            <family val="2"/>
          </rPr>
          <t>Author:</t>
        </r>
        <r>
          <rPr>
            <sz val="9"/>
            <color indexed="81"/>
            <rFont val="Tahoma"/>
            <family val="2"/>
          </rPr>
          <t xml:space="preserve">
Retail (Special Lines)</t>
        </r>
      </text>
    </comment>
    <comment ref="B844" authorId="0" shapeId="0">
      <text>
        <r>
          <rPr>
            <b/>
            <sz val="9"/>
            <color indexed="81"/>
            <rFont val="Tahoma"/>
            <family val="2"/>
          </rPr>
          <t>Author:</t>
        </r>
        <r>
          <rPr>
            <sz val="9"/>
            <color indexed="81"/>
            <rFont val="Tahoma"/>
            <family val="2"/>
          </rPr>
          <t xml:space="preserve">
Advertising
</t>
        </r>
      </text>
    </comment>
    <comment ref="C844" authorId="0" shapeId="0">
      <text>
        <r>
          <rPr>
            <b/>
            <sz val="9"/>
            <color indexed="81"/>
            <rFont val="Tahoma"/>
            <family val="2"/>
          </rPr>
          <t>Author:</t>
        </r>
        <r>
          <rPr>
            <sz val="9"/>
            <color indexed="81"/>
            <rFont val="Tahoma"/>
            <family val="2"/>
          </rPr>
          <t xml:space="preserve">
Computers/Peripherals</t>
        </r>
      </text>
    </comment>
    <comment ref="D844" authorId="0" shapeId="0">
      <text>
        <r>
          <rPr>
            <b/>
            <sz val="9"/>
            <color indexed="81"/>
            <rFont val="Tahoma"/>
            <family val="2"/>
          </rPr>
          <t>Author:</t>
        </r>
        <r>
          <rPr>
            <sz val="9"/>
            <color indexed="81"/>
            <rFont val="Tahoma"/>
            <family val="2"/>
          </rPr>
          <t xml:space="preserve">
Retail
</t>
        </r>
      </text>
    </comment>
    <comment ref="E844" authorId="0" shapeId="0">
      <text>
        <r>
          <rPr>
            <b/>
            <sz val="9"/>
            <color indexed="81"/>
            <rFont val="Tahoma"/>
            <family val="2"/>
          </rPr>
          <t>Author:</t>
        </r>
        <r>
          <rPr>
            <sz val="9"/>
            <color indexed="81"/>
            <rFont val="Tahoma"/>
            <family val="2"/>
          </rPr>
          <t xml:space="preserve">
Computers/Peripherals</t>
        </r>
      </text>
    </comment>
    <comment ref="F844" authorId="0" shapeId="0">
      <text>
        <r>
          <rPr>
            <b/>
            <sz val="9"/>
            <color indexed="81"/>
            <rFont val="Tahoma"/>
            <family val="2"/>
          </rPr>
          <t>Author:</t>
        </r>
        <r>
          <rPr>
            <sz val="9"/>
            <color indexed="81"/>
            <rFont val="Tahoma"/>
            <family val="2"/>
          </rPr>
          <t xml:space="preserve">
Computers/Peripherals</t>
        </r>
      </text>
    </comment>
    <comment ref="G844" authorId="0" shapeId="0">
      <text>
        <r>
          <rPr>
            <b/>
            <sz val="9"/>
            <color indexed="81"/>
            <rFont val="Tahoma"/>
            <family val="2"/>
          </rPr>
          <t>Author:</t>
        </r>
        <r>
          <rPr>
            <sz val="9"/>
            <color indexed="81"/>
            <rFont val="Tahoma"/>
            <family val="2"/>
          </rPr>
          <t xml:space="preserve">
Computers/Peripherals</t>
        </r>
      </text>
    </comment>
    <comment ref="H844" authorId="0" shapeId="0">
      <text>
        <r>
          <rPr>
            <b/>
            <sz val="9"/>
            <color indexed="81"/>
            <rFont val="Tahoma"/>
            <family val="2"/>
          </rPr>
          <t>Author:</t>
        </r>
        <r>
          <rPr>
            <sz val="9"/>
            <color indexed="81"/>
            <rFont val="Tahoma"/>
            <family val="2"/>
          </rPr>
          <t xml:space="preserve">
Computers/Peripherals</t>
        </r>
      </text>
    </comment>
    <comment ref="I844" authorId="0" shapeId="0">
      <text>
        <r>
          <rPr>
            <b/>
            <sz val="9"/>
            <color indexed="81"/>
            <rFont val="Tahoma"/>
            <family val="2"/>
          </rPr>
          <t>Author:</t>
        </r>
        <r>
          <rPr>
            <sz val="9"/>
            <color indexed="81"/>
            <rFont val="Tahoma"/>
            <family val="2"/>
          </rPr>
          <t xml:space="preserve">
Computers/Peripherals</t>
        </r>
      </text>
    </comment>
    <comment ref="J844" authorId="0" shapeId="0">
      <text>
        <r>
          <rPr>
            <b/>
            <sz val="9"/>
            <color indexed="81"/>
            <rFont val="Tahoma"/>
            <family val="2"/>
          </rPr>
          <t>Author:</t>
        </r>
        <r>
          <rPr>
            <sz val="9"/>
            <color indexed="81"/>
            <rFont val="Tahoma"/>
            <family val="2"/>
          </rPr>
          <t xml:space="preserve">
Computers/Peripherals</t>
        </r>
      </text>
    </comment>
    <comment ref="K844" authorId="0" shapeId="0">
      <text>
        <r>
          <rPr>
            <b/>
            <sz val="9"/>
            <color indexed="81"/>
            <rFont val="Tahoma"/>
            <family val="2"/>
          </rPr>
          <t>Author:</t>
        </r>
        <r>
          <rPr>
            <sz val="9"/>
            <color indexed="81"/>
            <rFont val="Tahoma"/>
            <family val="2"/>
          </rPr>
          <t xml:space="preserve">
Computers/Peripherals</t>
        </r>
      </text>
    </comment>
    <comment ref="L844" authorId="0" shapeId="0">
      <text>
        <r>
          <rPr>
            <b/>
            <sz val="9"/>
            <color indexed="81"/>
            <rFont val="Tahoma"/>
            <family val="2"/>
          </rPr>
          <t>Author:</t>
        </r>
        <r>
          <rPr>
            <sz val="9"/>
            <color indexed="81"/>
            <rFont val="Tahoma"/>
            <family val="2"/>
          </rPr>
          <t xml:space="preserve">
Computers/Peripherals</t>
        </r>
      </text>
    </comment>
    <comment ref="M844" authorId="0" shapeId="0">
      <text>
        <r>
          <rPr>
            <b/>
            <sz val="9"/>
            <color indexed="81"/>
            <rFont val="Tahoma"/>
            <family val="2"/>
          </rPr>
          <t>Author:</t>
        </r>
        <r>
          <rPr>
            <sz val="9"/>
            <color indexed="81"/>
            <rFont val="Tahoma"/>
            <family val="2"/>
          </rPr>
          <t xml:space="preserve">
Computers/Peripherals</t>
        </r>
      </text>
    </comment>
    <comment ref="B845" authorId="0" shapeId="0">
      <text>
        <r>
          <rPr>
            <b/>
            <sz val="9"/>
            <color indexed="81"/>
            <rFont val="Tahoma"/>
            <family val="2"/>
          </rPr>
          <t>Author:</t>
        </r>
        <r>
          <rPr>
            <sz val="9"/>
            <color indexed="81"/>
            <rFont val="Tahoma"/>
            <family val="2"/>
          </rPr>
          <t xml:space="preserve">
Internet
</t>
        </r>
      </text>
    </comment>
    <comment ref="C845" authorId="0" shapeId="0">
      <text>
        <r>
          <rPr>
            <b/>
            <sz val="9"/>
            <color indexed="81"/>
            <rFont val="Tahoma"/>
            <family val="2"/>
          </rPr>
          <t>Author:</t>
        </r>
        <r>
          <rPr>
            <sz val="9"/>
            <color indexed="81"/>
            <rFont val="Tahoma"/>
            <family val="2"/>
          </rPr>
          <t xml:space="preserve">
Electronics (General)</t>
        </r>
      </text>
    </comment>
    <comment ref="D845" authorId="0" shapeId="0">
      <text>
        <r>
          <rPr>
            <b/>
            <sz val="9"/>
            <color indexed="81"/>
            <rFont val="Tahoma"/>
            <family val="2"/>
          </rPr>
          <t>Author:</t>
        </r>
        <r>
          <rPr>
            <sz val="9"/>
            <color indexed="81"/>
            <rFont val="Tahoma"/>
            <family val="2"/>
          </rPr>
          <t xml:space="preserve">
Entertainment
</t>
        </r>
      </text>
    </comment>
    <comment ref="E845" authorId="0" shapeId="0">
      <text>
        <r>
          <rPr>
            <b/>
            <sz val="9"/>
            <color indexed="81"/>
            <rFont val="Tahoma"/>
            <family val="2"/>
          </rPr>
          <t>Author:</t>
        </r>
        <r>
          <rPr>
            <sz val="9"/>
            <color indexed="81"/>
            <rFont val="Tahoma"/>
            <family val="2"/>
          </rPr>
          <t xml:space="preserve">
Electronics (General)</t>
        </r>
      </text>
    </comment>
    <comment ref="F845" authorId="0" shapeId="0">
      <text>
        <r>
          <rPr>
            <b/>
            <sz val="9"/>
            <color indexed="81"/>
            <rFont val="Tahoma"/>
            <family val="2"/>
          </rPr>
          <t>Author:</t>
        </r>
        <r>
          <rPr>
            <sz val="9"/>
            <color indexed="81"/>
            <rFont val="Tahoma"/>
            <family val="2"/>
          </rPr>
          <t xml:space="preserve">
Electronics (General)</t>
        </r>
      </text>
    </comment>
    <comment ref="G845" authorId="0" shapeId="0">
      <text>
        <r>
          <rPr>
            <b/>
            <sz val="9"/>
            <color indexed="81"/>
            <rFont val="Tahoma"/>
            <family val="2"/>
          </rPr>
          <t>Author:</t>
        </r>
        <r>
          <rPr>
            <sz val="9"/>
            <color indexed="81"/>
            <rFont val="Tahoma"/>
            <family val="2"/>
          </rPr>
          <t xml:space="preserve">
Electronics (General)</t>
        </r>
      </text>
    </comment>
    <comment ref="H845" authorId="0" shapeId="0">
      <text>
        <r>
          <rPr>
            <b/>
            <sz val="9"/>
            <color indexed="81"/>
            <rFont val="Tahoma"/>
            <family val="2"/>
          </rPr>
          <t>Author:</t>
        </r>
        <r>
          <rPr>
            <sz val="9"/>
            <color indexed="81"/>
            <rFont val="Tahoma"/>
            <family val="2"/>
          </rPr>
          <t xml:space="preserve">
Electronics (General)</t>
        </r>
      </text>
    </comment>
    <comment ref="I845" authorId="0" shapeId="0">
      <text>
        <r>
          <rPr>
            <b/>
            <sz val="9"/>
            <color indexed="81"/>
            <rFont val="Tahoma"/>
            <family val="2"/>
          </rPr>
          <t>Author:</t>
        </r>
        <r>
          <rPr>
            <sz val="9"/>
            <color indexed="81"/>
            <rFont val="Tahoma"/>
            <family val="2"/>
          </rPr>
          <t xml:space="preserve">
Electronics (General)</t>
        </r>
      </text>
    </comment>
    <comment ref="J845" authorId="0" shapeId="0">
      <text>
        <r>
          <rPr>
            <b/>
            <sz val="9"/>
            <color indexed="81"/>
            <rFont val="Tahoma"/>
            <family val="2"/>
          </rPr>
          <t>Author:</t>
        </r>
        <r>
          <rPr>
            <sz val="9"/>
            <color indexed="81"/>
            <rFont val="Tahoma"/>
            <family val="2"/>
          </rPr>
          <t xml:space="preserve">
Electronics (General)</t>
        </r>
      </text>
    </comment>
    <comment ref="K845" authorId="0" shapeId="0">
      <text>
        <r>
          <rPr>
            <b/>
            <sz val="9"/>
            <color indexed="81"/>
            <rFont val="Tahoma"/>
            <family val="2"/>
          </rPr>
          <t>Author:</t>
        </r>
        <r>
          <rPr>
            <sz val="9"/>
            <color indexed="81"/>
            <rFont val="Tahoma"/>
            <family val="2"/>
          </rPr>
          <t xml:space="preserve">
Electronics (General)</t>
        </r>
      </text>
    </comment>
    <comment ref="L845" authorId="0" shapeId="0">
      <text>
        <r>
          <rPr>
            <b/>
            <sz val="9"/>
            <color indexed="81"/>
            <rFont val="Tahoma"/>
            <family val="2"/>
          </rPr>
          <t>Author:</t>
        </r>
        <r>
          <rPr>
            <sz val="9"/>
            <color indexed="81"/>
            <rFont val="Tahoma"/>
            <family val="2"/>
          </rPr>
          <t xml:space="preserve">
Electronics (General)</t>
        </r>
      </text>
    </comment>
    <comment ref="M845" authorId="0" shapeId="0">
      <text>
        <r>
          <rPr>
            <b/>
            <sz val="9"/>
            <color indexed="81"/>
            <rFont val="Tahoma"/>
            <family val="2"/>
          </rPr>
          <t>Author:</t>
        </r>
        <r>
          <rPr>
            <sz val="9"/>
            <color indexed="81"/>
            <rFont val="Tahoma"/>
            <family val="2"/>
          </rPr>
          <t xml:space="preserve">
Electronics (General)</t>
        </r>
      </text>
    </comment>
    <comment ref="C846" authorId="0" shapeId="0">
      <text>
        <r>
          <rPr>
            <b/>
            <sz val="9"/>
            <color indexed="81"/>
            <rFont val="Tahoma"/>
            <family val="2"/>
          </rPr>
          <t>Author:</t>
        </r>
        <r>
          <rPr>
            <sz val="9"/>
            <color indexed="81"/>
            <rFont val="Tahoma"/>
            <family val="2"/>
          </rPr>
          <t xml:space="preserve">
Retail (Special Lines)</t>
        </r>
      </text>
    </comment>
    <comment ref="D846" authorId="0" shapeId="0">
      <text>
        <r>
          <rPr>
            <b/>
            <sz val="9"/>
            <color indexed="81"/>
            <rFont val="Tahoma"/>
            <family val="2"/>
          </rPr>
          <t>Author:</t>
        </r>
        <r>
          <rPr>
            <sz val="9"/>
            <color indexed="81"/>
            <rFont val="Tahoma"/>
            <family val="2"/>
          </rPr>
          <t xml:space="preserve">
Business and Consumer Serives
</t>
        </r>
      </text>
    </comment>
    <comment ref="E846" authorId="0" shapeId="0">
      <text>
        <r>
          <rPr>
            <b/>
            <sz val="9"/>
            <color indexed="81"/>
            <rFont val="Tahoma"/>
            <family val="2"/>
          </rPr>
          <t>Author:</t>
        </r>
        <r>
          <rPr>
            <sz val="9"/>
            <color indexed="81"/>
            <rFont val="Tahoma"/>
            <family val="2"/>
          </rPr>
          <t xml:space="preserve">
Retail (Special Lines)</t>
        </r>
      </text>
    </comment>
    <comment ref="F846" authorId="0" shapeId="0">
      <text>
        <r>
          <rPr>
            <b/>
            <sz val="9"/>
            <color indexed="81"/>
            <rFont val="Tahoma"/>
            <family val="2"/>
          </rPr>
          <t>Author:</t>
        </r>
        <r>
          <rPr>
            <sz val="9"/>
            <color indexed="81"/>
            <rFont val="Tahoma"/>
            <family val="2"/>
          </rPr>
          <t xml:space="preserve">
Retail (Special Lines)</t>
        </r>
      </text>
    </comment>
    <comment ref="G846" authorId="0" shapeId="0">
      <text>
        <r>
          <rPr>
            <b/>
            <sz val="9"/>
            <color indexed="81"/>
            <rFont val="Tahoma"/>
            <family val="2"/>
          </rPr>
          <t>Author:</t>
        </r>
        <r>
          <rPr>
            <sz val="9"/>
            <color indexed="81"/>
            <rFont val="Tahoma"/>
            <family val="2"/>
          </rPr>
          <t xml:space="preserve">
Retail (Special Lines)</t>
        </r>
      </text>
    </comment>
    <comment ref="H846" authorId="0" shapeId="0">
      <text>
        <r>
          <rPr>
            <b/>
            <sz val="9"/>
            <color indexed="81"/>
            <rFont val="Tahoma"/>
            <family val="2"/>
          </rPr>
          <t>Author:</t>
        </r>
        <r>
          <rPr>
            <sz val="9"/>
            <color indexed="81"/>
            <rFont val="Tahoma"/>
            <family val="2"/>
          </rPr>
          <t xml:space="preserve">
Retail (Special Lines)</t>
        </r>
      </text>
    </comment>
    <comment ref="I846" authorId="0" shapeId="0">
      <text>
        <r>
          <rPr>
            <b/>
            <sz val="9"/>
            <color indexed="81"/>
            <rFont val="Tahoma"/>
            <family val="2"/>
          </rPr>
          <t>Author:</t>
        </r>
        <r>
          <rPr>
            <sz val="9"/>
            <color indexed="81"/>
            <rFont val="Tahoma"/>
            <family val="2"/>
          </rPr>
          <t xml:space="preserve">
Retail (Special Lines)</t>
        </r>
      </text>
    </comment>
    <comment ref="J846" authorId="0" shapeId="0">
      <text>
        <r>
          <rPr>
            <b/>
            <sz val="9"/>
            <color indexed="81"/>
            <rFont val="Tahoma"/>
            <family val="2"/>
          </rPr>
          <t>Author:</t>
        </r>
        <r>
          <rPr>
            <sz val="9"/>
            <color indexed="81"/>
            <rFont val="Tahoma"/>
            <family val="2"/>
          </rPr>
          <t xml:space="preserve">
Retail (Special Lines)</t>
        </r>
      </text>
    </comment>
    <comment ref="K846" authorId="0" shapeId="0">
      <text>
        <r>
          <rPr>
            <b/>
            <sz val="9"/>
            <color indexed="81"/>
            <rFont val="Tahoma"/>
            <family val="2"/>
          </rPr>
          <t>Author:</t>
        </r>
        <r>
          <rPr>
            <sz val="9"/>
            <color indexed="81"/>
            <rFont val="Tahoma"/>
            <family val="2"/>
          </rPr>
          <t xml:space="preserve">
Retail (Special Lines)</t>
        </r>
      </text>
    </comment>
    <comment ref="L846" authorId="0" shapeId="0">
      <text>
        <r>
          <rPr>
            <b/>
            <sz val="9"/>
            <color indexed="81"/>
            <rFont val="Tahoma"/>
            <family val="2"/>
          </rPr>
          <t>Author:</t>
        </r>
        <r>
          <rPr>
            <sz val="9"/>
            <color indexed="81"/>
            <rFont val="Tahoma"/>
            <family val="2"/>
          </rPr>
          <t xml:space="preserve">
Retail (Special Lines)</t>
        </r>
      </text>
    </comment>
    <comment ref="M846" authorId="0" shapeId="0">
      <text>
        <r>
          <rPr>
            <b/>
            <sz val="9"/>
            <color indexed="81"/>
            <rFont val="Tahoma"/>
            <family val="2"/>
          </rPr>
          <t>Author:</t>
        </r>
        <r>
          <rPr>
            <sz val="9"/>
            <color indexed="81"/>
            <rFont val="Tahoma"/>
            <family val="2"/>
          </rPr>
          <t xml:space="preserve">
Retail (Special Lines)</t>
        </r>
      </text>
    </comment>
    <comment ref="B868" authorId="0" shapeId="0">
      <text>
        <r>
          <rPr>
            <b/>
            <sz val="9"/>
            <color indexed="81"/>
            <rFont val="Tahoma"/>
            <family val="2"/>
          </rPr>
          <t>Author:</t>
        </r>
        <r>
          <rPr>
            <sz val="9"/>
            <color indexed="81"/>
            <rFont val="Tahoma"/>
            <family val="2"/>
          </rPr>
          <t xml:space="preserve">
Africa</t>
        </r>
      </text>
    </comment>
    <comment ref="B869" authorId="0" shapeId="0">
      <text>
        <r>
          <rPr>
            <b/>
            <sz val="9"/>
            <color indexed="81"/>
            <rFont val="Tahoma"/>
            <family val="2"/>
          </rPr>
          <t>Author:</t>
        </r>
        <r>
          <rPr>
            <sz val="9"/>
            <color indexed="81"/>
            <rFont val="Tahoma"/>
            <family val="2"/>
          </rPr>
          <t xml:space="preserve">
Asia</t>
        </r>
      </text>
    </comment>
    <comment ref="B870" authorId="0" shapeId="0">
      <text>
        <r>
          <rPr>
            <b/>
            <sz val="9"/>
            <color indexed="81"/>
            <rFont val="Tahoma"/>
            <family val="2"/>
          </rPr>
          <t>Author:</t>
        </r>
        <r>
          <rPr>
            <sz val="9"/>
            <color indexed="81"/>
            <rFont val="Tahoma"/>
            <family val="2"/>
          </rPr>
          <t xml:space="preserve">
Australia &amp; New Zealand</t>
        </r>
      </text>
    </comment>
    <comment ref="B871" authorId="0" shapeId="0">
      <text>
        <r>
          <rPr>
            <b/>
            <sz val="9"/>
            <color indexed="81"/>
            <rFont val="Tahoma"/>
            <family val="2"/>
          </rPr>
          <t>Author:</t>
        </r>
        <r>
          <rPr>
            <sz val="9"/>
            <color indexed="81"/>
            <rFont val="Tahoma"/>
            <family val="2"/>
          </rPr>
          <t xml:space="preserve">
Caribbean</t>
        </r>
      </text>
    </comment>
    <comment ref="B872" authorId="0" shapeId="0">
      <text>
        <r>
          <rPr>
            <b/>
            <sz val="9"/>
            <color indexed="81"/>
            <rFont val="Tahoma"/>
            <family val="2"/>
          </rPr>
          <t>Author:</t>
        </r>
        <r>
          <rPr>
            <sz val="9"/>
            <color indexed="81"/>
            <rFont val="Tahoma"/>
            <family val="2"/>
          </rPr>
          <t xml:space="preserve">
Central and South America</t>
        </r>
      </text>
    </comment>
    <comment ref="B873" authorId="0" shapeId="0">
      <text>
        <r>
          <rPr>
            <b/>
            <sz val="9"/>
            <color indexed="81"/>
            <rFont val="Tahoma"/>
            <family val="2"/>
          </rPr>
          <t>Author:</t>
        </r>
        <r>
          <rPr>
            <sz val="9"/>
            <color indexed="81"/>
            <rFont val="Tahoma"/>
            <family val="2"/>
          </rPr>
          <t xml:space="preserve">
Eastern Europe &amp; Russia</t>
        </r>
      </text>
    </comment>
    <comment ref="B874" authorId="0" shapeId="0">
      <text>
        <r>
          <rPr>
            <b/>
            <sz val="9"/>
            <color indexed="81"/>
            <rFont val="Tahoma"/>
            <family val="2"/>
          </rPr>
          <t>Author:</t>
        </r>
        <r>
          <rPr>
            <sz val="9"/>
            <color indexed="81"/>
            <rFont val="Tahoma"/>
            <family val="2"/>
          </rPr>
          <t xml:space="preserve">
Middle East</t>
        </r>
      </text>
    </comment>
    <comment ref="B875" authorId="0" shapeId="0">
      <text>
        <r>
          <rPr>
            <b/>
            <sz val="9"/>
            <color indexed="81"/>
            <rFont val="Tahoma"/>
            <family val="2"/>
          </rPr>
          <t>Author:</t>
        </r>
        <r>
          <rPr>
            <sz val="9"/>
            <color indexed="81"/>
            <rFont val="Tahoma"/>
            <family val="2"/>
          </rPr>
          <t xml:space="preserve">
North America</t>
        </r>
      </text>
    </comment>
    <comment ref="B876" authorId="0" shapeId="0">
      <text>
        <r>
          <rPr>
            <b/>
            <sz val="9"/>
            <color indexed="81"/>
            <rFont val="Tahoma"/>
            <family val="2"/>
          </rPr>
          <t>Author:</t>
        </r>
        <r>
          <rPr>
            <sz val="9"/>
            <color indexed="81"/>
            <rFont val="Tahoma"/>
            <family val="2"/>
          </rPr>
          <t xml:space="preserve">
Western Europe</t>
        </r>
      </text>
    </comment>
    <comment ref="B880" authorId="0" shapeId="0">
      <text>
        <r>
          <rPr>
            <b/>
            <sz val="9"/>
            <color indexed="81"/>
            <rFont val="Tahoma"/>
            <family val="2"/>
          </rPr>
          <t>Author:</t>
        </r>
        <r>
          <rPr>
            <sz val="9"/>
            <color indexed="81"/>
            <rFont val="Tahoma"/>
            <family val="2"/>
          </rPr>
          <t xml:space="preserve">
Africa</t>
        </r>
      </text>
    </comment>
    <comment ref="B881" authorId="0" shapeId="0">
      <text>
        <r>
          <rPr>
            <b/>
            <sz val="9"/>
            <color indexed="81"/>
            <rFont val="Tahoma"/>
            <family val="2"/>
          </rPr>
          <t>Author:</t>
        </r>
        <r>
          <rPr>
            <sz val="9"/>
            <color indexed="81"/>
            <rFont val="Tahoma"/>
            <family val="2"/>
          </rPr>
          <t xml:space="preserve">
Asia</t>
        </r>
      </text>
    </comment>
    <comment ref="C881" authorId="0" shapeId="0">
      <text>
        <r>
          <rPr>
            <b/>
            <sz val="9"/>
            <color indexed="81"/>
            <rFont val="Tahoma"/>
            <family val="2"/>
          </rPr>
          <t>Author:</t>
        </r>
        <r>
          <rPr>
            <sz val="9"/>
            <color indexed="81"/>
            <rFont val="Tahoma"/>
            <family val="2"/>
          </rPr>
          <t xml:space="preserve">
asia</t>
        </r>
      </text>
    </comment>
    <comment ref="D881" authorId="0" shapeId="0">
      <text>
        <r>
          <rPr>
            <b/>
            <sz val="9"/>
            <color indexed="81"/>
            <rFont val="Tahoma"/>
            <family val="2"/>
          </rPr>
          <t>Author:</t>
        </r>
        <r>
          <rPr>
            <sz val="9"/>
            <color indexed="81"/>
            <rFont val="Tahoma"/>
            <family val="2"/>
          </rPr>
          <t xml:space="preserve">
asia</t>
        </r>
      </text>
    </comment>
    <comment ref="E881" authorId="0" shapeId="0">
      <text>
        <r>
          <rPr>
            <b/>
            <sz val="9"/>
            <color indexed="81"/>
            <rFont val="Tahoma"/>
            <family val="2"/>
          </rPr>
          <t>Author:</t>
        </r>
        <r>
          <rPr>
            <sz val="9"/>
            <color indexed="81"/>
            <rFont val="Tahoma"/>
            <family val="2"/>
          </rPr>
          <t xml:space="preserve">
asia</t>
        </r>
      </text>
    </comment>
    <comment ref="F881" authorId="0" shapeId="0">
      <text>
        <r>
          <rPr>
            <b/>
            <sz val="9"/>
            <color indexed="81"/>
            <rFont val="Tahoma"/>
            <family val="2"/>
          </rPr>
          <t>Author:</t>
        </r>
        <r>
          <rPr>
            <sz val="9"/>
            <color indexed="81"/>
            <rFont val="Tahoma"/>
            <family val="2"/>
          </rPr>
          <t xml:space="preserve">
asia</t>
        </r>
      </text>
    </comment>
    <comment ref="G881" authorId="0" shapeId="0">
      <text>
        <r>
          <rPr>
            <b/>
            <sz val="9"/>
            <color indexed="81"/>
            <rFont val="Tahoma"/>
            <family val="2"/>
          </rPr>
          <t>Author:</t>
        </r>
        <r>
          <rPr>
            <sz val="9"/>
            <color indexed="81"/>
            <rFont val="Tahoma"/>
            <family val="2"/>
          </rPr>
          <t xml:space="preserve">
asia</t>
        </r>
      </text>
    </comment>
    <comment ref="H881" authorId="0" shapeId="0">
      <text>
        <r>
          <rPr>
            <b/>
            <sz val="9"/>
            <color indexed="81"/>
            <rFont val="Tahoma"/>
            <family val="2"/>
          </rPr>
          <t>Author:</t>
        </r>
        <r>
          <rPr>
            <sz val="9"/>
            <color indexed="81"/>
            <rFont val="Tahoma"/>
            <family val="2"/>
          </rPr>
          <t xml:space="preserve">
asia</t>
        </r>
      </text>
    </comment>
    <comment ref="I881" authorId="0" shapeId="0">
      <text>
        <r>
          <rPr>
            <b/>
            <sz val="9"/>
            <color indexed="81"/>
            <rFont val="Tahoma"/>
            <family val="2"/>
          </rPr>
          <t>Author:</t>
        </r>
        <r>
          <rPr>
            <sz val="9"/>
            <color indexed="81"/>
            <rFont val="Tahoma"/>
            <family val="2"/>
          </rPr>
          <t xml:space="preserve">
asia</t>
        </r>
      </text>
    </comment>
    <comment ref="J881" authorId="0" shapeId="0">
      <text>
        <r>
          <rPr>
            <b/>
            <sz val="9"/>
            <color indexed="81"/>
            <rFont val="Tahoma"/>
            <family val="2"/>
          </rPr>
          <t>Author:</t>
        </r>
        <r>
          <rPr>
            <sz val="9"/>
            <color indexed="81"/>
            <rFont val="Tahoma"/>
            <family val="2"/>
          </rPr>
          <t xml:space="preserve">
asia</t>
        </r>
      </text>
    </comment>
    <comment ref="K881" authorId="0" shapeId="0">
      <text>
        <r>
          <rPr>
            <b/>
            <sz val="9"/>
            <color indexed="81"/>
            <rFont val="Tahoma"/>
            <family val="2"/>
          </rPr>
          <t>Author:</t>
        </r>
        <r>
          <rPr>
            <sz val="9"/>
            <color indexed="81"/>
            <rFont val="Tahoma"/>
            <family val="2"/>
          </rPr>
          <t xml:space="preserve">
asia</t>
        </r>
      </text>
    </comment>
    <comment ref="L881" authorId="0" shapeId="0">
      <text>
        <r>
          <rPr>
            <b/>
            <sz val="9"/>
            <color indexed="81"/>
            <rFont val="Tahoma"/>
            <family val="2"/>
          </rPr>
          <t>Author:</t>
        </r>
        <r>
          <rPr>
            <sz val="9"/>
            <color indexed="81"/>
            <rFont val="Tahoma"/>
            <family val="2"/>
          </rPr>
          <t xml:space="preserve">
asia</t>
        </r>
      </text>
    </comment>
    <comment ref="M881" authorId="0" shapeId="0">
      <text>
        <r>
          <rPr>
            <b/>
            <sz val="9"/>
            <color indexed="81"/>
            <rFont val="Tahoma"/>
            <family val="2"/>
          </rPr>
          <t>Author:</t>
        </r>
        <r>
          <rPr>
            <sz val="9"/>
            <color indexed="81"/>
            <rFont val="Tahoma"/>
            <family val="2"/>
          </rPr>
          <t xml:space="preserve">
asia</t>
        </r>
      </text>
    </comment>
    <comment ref="B882" authorId="0" shapeId="0">
      <text>
        <r>
          <rPr>
            <b/>
            <sz val="9"/>
            <color indexed="81"/>
            <rFont val="Tahoma"/>
            <family val="2"/>
          </rPr>
          <t>Author:</t>
        </r>
        <r>
          <rPr>
            <sz val="9"/>
            <color indexed="81"/>
            <rFont val="Tahoma"/>
            <family val="2"/>
          </rPr>
          <t xml:space="preserve">
Australia &amp; New Zealand</t>
        </r>
      </text>
    </comment>
    <comment ref="B883" authorId="0" shapeId="0">
      <text>
        <r>
          <rPr>
            <b/>
            <sz val="9"/>
            <color indexed="81"/>
            <rFont val="Tahoma"/>
            <family val="2"/>
          </rPr>
          <t>Author:</t>
        </r>
        <r>
          <rPr>
            <sz val="9"/>
            <color indexed="81"/>
            <rFont val="Tahoma"/>
            <family val="2"/>
          </rPr>
          <t xml:space="preserve">
Caribbean</t>
        </r>
      </text>
    </comment>
    <comment ref="B884" authorId="0" shapeId="0">
      <text>
        <r>
          <rPr>
            <b/>
            <sz val="9"/>
            <color indexed="81"/>
            <rFont val="Tahoma"/>
            <family val="2"/>
          </rPr>
          <t>Author:</t>
        </r>
        <r>
          <rPr>
            <sz val="9"/>
            <color indexed="81"/>
            <rFont val="Tahoma"/>
            <family val="2"/>
          </rPr>
          <t xml:space="preserve">
Central and South America</t>
        </r>
      </text>
    </comment>
    <comment ref="B885" authorId="0" shapeId="0">
      <text>
        <r>
          <rPr>
            <b/>
            <sz val="9"/>
            <color indexed="81"/>
            <rFont val="Tahoma"/>
            <family val="2"/>
          </rPr>
          <t>Author:</t>
        </r>
        <r>
          <rPr>
            <sz val="9"/>
            <color indexed="81"/>
            <rFont val="Tahoma"/>
            <family val="2"/>
          </rPr>
          <t xml:space="preserve">
Eastern Europe &amp; Russia</t>
        </r>
      </text>
    </comment>
    <comment ref="B886" authorId="0" shapeId="0">
      <text>
        <r>
          <rPr>
            <b/>
            <sz val="9"/>
            <color indexed="81"/>
            <rFont val="Tahoma"/>
            <family val="2"/>
          </rPr>
          <t>Author:</t>
        </r>
        <r>
          <rPr>
            <sz val="9"/>
            <color indexed="81"/>
            <rFont val="Tahoma"/>
            <family val="2"/>
          </rPr>
          <t xml:space="preserve">
Middle East</t>
        </r>
      </text>
    </comment>
    <comment ref="C887" authorId="0" shapeId="0">
      <text>
        <r>
          <rPr>
            <b/>
            <sz val="9"/>
            <color indexed="81"/>
            <rFont val="Tahoma"/>
            <family val="2"/>
          </rPr>
          <t>Author:</t>
        </r>
        <r>
          <rPr>
            <sz val="9"/>
            <color indexed="81"/>
            <rFont val="Tahoma"/>
            <family val="2"/>
          </rPr>
          <t xml:space="preserve">
north america</t>
        </r>
      </text>
    </comment>
    <comment ref="D887" authorId="0" shapeId="0">
      <text>
        <r>
          <rPr>
            <b/>
            <sz val="9"/>
            <color indexed="81"/>
            <rFont val="Tahoma"/>
            <family val="2"/>
          </rPr>
          <t>Author:</t>
        </r>
        <r>
          <rPr>
            <sz val="9"/>
            <color indexed="81"/>
            <rFont val="Tahoma"/>
            <family val="2"/>
          </rPr>
          <t xml:space="preserve">
north america</t>
        </r>
      </text>
    </comment>
    <comment ref="E887" authorId="0" shapeId="0">
      <text>
        <r>
          <rPr>
            <b/>
            <sz val="9"/>
            <color indexed="81"/>
            <rFont val="Tahoma"/>
            <family val="2"/>
          </rPr>
          <t>Author:</t>
        </r>
        <r>
          <rPr>
            <sz val="9"/>
            <color indexed="81"/>
            <rFont val="Tahoma"/>
            <family val="2"/>
          </rPr>
          <t xml:space="preserve">
north america</t>
        </r>
      </text>
    </comment>
    <comment ref="F887" authorId="0" shapeId="0">
      <text>
        <r>
          <rPr>
            <b/>
            <sz val="9"/>
            <color indexed="81"/>
            <rFont val="Tahoma"/>
            <family val="2"/>
          </rPr>
          <t>Author:</t>
        </r>
        <r>
          <rPr>
            <sz val="9"/>
            <color indexed="81"/>
            <rFont val="Tahoma"/>
            <family val="2"/>
          </rPr>
          <t xml:space="preserve">
north america</t>
        </r>
      </text>
    </comment>
    <comment ref="G887" authorId="0" shapeId="0">
      <text>
        <r>
          <rPr>
            <b/>
            <sz val="9"/>
            <color indexed="81"/>
            <rFont val="Tahoma"/>
            <family val="2"/>
          </rPr>
          <t>Author:</t>
        </r>
        <r>
          <rPr>
            <sz val="9"/>
            <color indexed="81"/>
            <rFont val="Tahoma"/>
            <family val="2"/>
          </rPr>
          <t xml:space="preserve">
north america</t>
        </r>
      </text>
    </comment>
    <comment ref="H887" authorId="0" shapeId="0">
      <text>
        <r>
          <rPr>
            <b/>
            <sz val="9"/>
            <color indexed="81"/>
            <rFont val="Tahoma"/>
            <family val="2"/>
          </rPr>
          <t>Author:</t>
        </r>
        <r>
          <rPr>
            <sz val="9"/>
            <color indexed="81"/>
            <rFont val="Tahoma"/>
            <family val="2"/>
          </rPr>
          <t xml:space="preserve">
north america</t>
        </r>
      </text>
    </comment>
    <comment ref="I887" authorId="0" shapeId="0">
      <text>
        <r>
          <rPr>
            <b/>
            <sz val="9"/>
            <color indexed="81"/>
            <rFont val="Tahoma"/>
            <family val="2"/>
          </rPr>
          <t>Author:</t>
        </r>
        <r>
          <rPr>
            <sz val="9"/>
            <color indexed="81"/>
            <rFont val="Tahoma"/>
            <family val="2"/>
          </rPr>
          <t xml:space="preserve">
north america</t>
        </r>
      </text>
    </comment>
    <comment ref="J887" authorId="0" shapeId="0">
      <text>
        <r>
          <rPr>
            <b/>
            <sz val="9"/>
            <color indexed="81"/>
            <rFont val="Tahoma"/>
            <family val="2"/>
          </rPr>
          <t>Author:</t>
        </r>
        <r>
          <rPr>
            <sz val="9"/>
            <color indexed="81"/>
            <rFont val="Tahoma"/>
            <family val="2"/>
          </rPr>
          <t xml:space="preserve">
north america</t>
        </r>
      </text>
    </comment>
    <comment ref="K887" authorId="0" shapeId="0">
      <text>
        <r>
          <rPr>
            <b/>
            <sz val="9"/>
            <color indexed="81"/>
            <rFont val="Tahoma"/>
            <family val="2"/>
          </rPr>
          <t>Author:</t>
        </r>
        <r>
          <rPr>
            <sz val="9"/>
            <color indexed="81"/>
            <rFont val="Tahoma"/>
            <family val="2"/>
          </rPr>
          <t xml:space="preserve">
north america</t>
        </r>
      </text>
    </comment>
    <comment ref="L887" authorId="0" shapeId="0">
      <text>
        <r>
          <rPr>
            <b/>
            <sz val="9"/>
            <color indexed="81"/>
            <rFont val="Tahoma"/>
            <family val="2"/>
          </rPr>
          <t>Author:</t>
        </r>
        <r>
          <rPr>
            <sz val="9"/>
            <color indexed="81"/>
            <rFont val="Tahoma"/>
            <family val="2"/>
          </rPr>
          <t xml:space="preserve">
north america</t>
        </r>
      </text>
    </comment>
    <comment ref="M887" authorId="0" shapeId="0">
      <text>
        <r>
          <rPr>
            <b/>
            <sz val="9"/>
            <color indexed="81"/>
            <rFont val="Tahoma"/>
            <family val="2"/>
          </rPr>
          <t>Author:</t>
        </r>
        <r>
          <rPr>
            <sz val="9"/>
            <color indexed="81"/>
            <rFont val="Tahoma"/>
            <family val="2"/>
          </rPr>
          <t xml:space="preserve">
north america</t>
        </r>
      </text>
    </comment>
    <comment ref="C888" authorId="0" shapeId="0">
      <text>
        <r>
          <rPr>
            <b/>
            <sz val="9"/>
            <color indexed="81"/>
            <rFont val="Tahoma"/>
            <family val="2"/>
          </rPr>
          <t>Author:</t>
        </r>
        <r>
          <rPr>
            <sz val="9"/>
            <color indexed="81"/>
            <rFont val="Tahoma"/>
            <family val="2"/>
          </rPr>
          <t xml:space="preserve">
western europe</t>
        </r>
      </text>
    </comment>
    <comment ref="D888" authorId="0" shapeId="0">
      <text>
        <r>
          <rPr>
            <b/>
            <sz val="9"/>
            <color indexed="81"/>
            <rFont val="Tahoma"/>
            <family val="2"/>
          </rPr>
          <t>Author:</t>
        </r>
        <r>
          <rPr>
            <sz val="9"/>
            <color indexed="81"/>
            <rFont val="Tahoma"/>
            <family val="2"/>
          </rPr>
          <t xml:space="preserve">
western europe</t>
        </r>
      </text>
    </comment>
    <comment ref="E888" authorId="0" shapeId="0">
      <text>
        <r>
          <rPr>
            <b/>
            <sz val="9"/>
            <color indexed="81"/>
            <rFont val="Tahoma"/>
            <family val="2"/>
          </rPr>
          <t>Author:</t>
        </r>
        <r>
          <rPr>
            <sz val="9"/>
            <color indexed="81"/>
            <rFont val="Tahoma"/>
            <family val="2"/>
          </rPr>
          <t xml:space="preserve">
western europe</t>
        </r>
      </text>
    </comment>
    <comment ref="F888" authorId="0" shapeId="0">
      <text>
        <r>
          <rPr>
            <b/>
            <sz val="9"/>
            <color indexed="81"/>
            <rFont val="Tahoma"/>
            <family val="2"/>
          </rPr>
          <t>Author:</t>
        </r>
        <r>
          <rPr>
            <sz val="9"/>
            <color indexed="81"/>
            <rFont val="Tahoma"/>
            <family val="2"/>
          </rPr>
          <t xml:space="preserve">
western europe</t>
        </r>
      </text>
    </comment>
    <comment ref="G888" authorId="0" shapeId="0">
      <text>
        <r>
          <rPr>
            <b/>
            <sz val="9"/>
            <color indexed="81"/>
            <rFont val="Tahoma"/>
            <family val="2"/>
          </rPr>
          <t>Author:</t>
        </r>
        <r>
          <rPr>
            <sz val="9"/>
            <color indexed="81"/>
            <rFont val="Tahoma"/>
            <family val="2"/>
          </rPr>
          <t xml:space="preserve">
western europe</t>
        </r>
      </text>
    </comment>
    <comment ref="H888" authorId="0" shapeId="0">
      <text>
        <r>
          <rPr>
            <b/>
            <sz val="9"/>
            <color indexed="81"/>
            <rFont val="Tahoma"/>
            <family val="2"/>
          </rPr>
          <t>Author:</t>
        </r>
        <r>
          <rPr>
            <sz val="9"/>
            <color indexed="81"/>
            <rFont val="Tahoma"/>
            <family val="2"/>
          </rPr>
          <t xml:space="preserve">
western europe</t>
        </r>
      </text>
    </comment>
    <comment ref="I888" authorId="0" shapeId="0">
      <text>
        <r>
          <rPr>
            <b/>
            <sz val="9"/>
            <color indexed="81"/>
            <rFont val="Tahoma"/>
            <family val="2"/>
          </rPr>
          <t>Author:</t>
        </r>
        <r>
          <rPr>
            <sz val="9"/>
            <color indexed="81"/>
            <rFont val="Tahoma"/>
            <family val="2"/>
          </rPr>
          <t xml:space="preserve">
western europe</t>
        </r>
      </text>
    </comment>
    <comment ref="J888" authorId="0" shapeId="0">
      <text>
        <r>
          <rPr>
            <b/>
            <sz val="9"/>
            <color indexed="81"/>
            <rFont val="Tahoma"/>
            <family val="2"/>
          </rPr>
          <t>Author:</t>
        </r>
        <r>
          <rPr>
            <sz val="9"/>
            <color indexed="81"/>
            <rFont val="Tahoma"/>
            <family val="2"/>
          </rPr>
          <t xml:space="preserve">
western europe</t>
        </r>
      </text>
    </comment>
    <comment ref="K888" authorId="0" shapeId="0">
      <text>
        <r>
          <rPr>
            <b/>
            <sz val="9"/>
            <color indexed="81"/>
            <rFont val="Tahoma"/>
            <family val="2"/>
          </rPr>
          <t>Author:</t>
        </r>
        <r>
          <rPr>
            <sz val="9"/>
            <color indexed="81"/>
            <rFont val="Tahoma"/>
            <family val="2"/>
          </rPr>
          <t xml:space="preserve">
western europe</t>
        </r>
      </text>
    </comment>
    <comment ref="L888" authorId="0" shapeId="0">
      <text>
        <r>
          <rPr>
            <b/>
            <sz val="9"/>
            <color indexed="81"/>
            <rFont val="Tahoma"/>
            <family val="2"/>
          </rPr>
          <t>Author:</t>
        </r>
        <r>
          <rPr>
            <sz val="9"/>
            <color indexed="81"/>
            <rFont val="Tahoma"/>
            <family val="2"/>
          </rPr>
          <t xml:space="preserve">
western europe</t>
        </r>
      </text>
    </comment>
    <comment ref="M888" authorId="0" shapeId="0">
      <text>
        <r>
          <rPr>
            <b/>
            <sz val="9"/>
            <color indexed="81"/>
            <rFont val="Tahoma"/>
            <family val="2"/>
          </rPr>
          <t>Author:</t>
        </r>
        <r>
          <rPr>
            <sz val="9"/>
            <color indexed="81"/>
            <rFont val="Tahoma"/>
            <family val="2"/>
          </rPr>
          <t xml:space="preserve">
western europe</t>
        </r>
      </text>
    </comment>
    <comment ref="A893" authorId="0" shapeId="0">
      <text>
        <r>
          <rPr>
            <b/>
            <sz val="9"/>
            <color indexed="81"/>
            <rFont val="Tahoma"/>
            <family val="2"/>
          </rPr>
          <t>Author:</t>
        </r>
        <r>
          <rPr>
            <sz val="9"/>
            <color indexed="81"/>
            <rFont val="Tahoma"/>
            <family val="2"/>
          </rPr>
          <t xml:space="preserve">
Current, long term cost of borrowing money. If you have a rating use it, if not use a synthetic rating.</t>
        </r>
      </text>
    </comment>
    <comment ref="A900" authorId="0" shapeId="0">
      <text>
        <r>
          <rPr>
            <b/>
            <sz val="9"/>
            <color indexed="81"/>
            <rFont val="Arial"/>
            <family val="2"/>
          </rPr>
          <t>Author:</t>
        </r>
        <r>
          <rPr>
            <sz val="9"/>
            <color indexed="81"/>
            <rFont val="Arial"/>
            <family val="2"/>
          </rPr>
          <t xml:space="preserve">
2: Small market cap (&lt;$5 billion) or risky.
1: Large market cap (&gt;$5 billion) and safe.
0: financial service firms (default spreads are slighty different)
-&gt; If company has volatile earnings or is in risky business, use 2, even if large market cap.</t>
        </r>
      </text>
    </comment>
    <comment ref="A903" authorId="0" shapeId="0">
      <text>
        <r>
          <rPr>
            <b/>
            <sz val="9"/>
            <color indexed="81"/>
            <rFont val="Tahoma"/>
            <family val="2"/>
          </rPr>
          <t>Author:</t>
        </r>
        <r>
          <rPr>
            <sz val="9"/>
            <color indexed="81"/>
            <rFont val="Tahoma"/>
            <family val="2"/>
          </rPr>
          <t xml:space="preserve">
This should be today's long term riskfree rate. If you are working with a currency where the government has default risk, clean up the government bond rate to make it riskfree (by subtracting the default spread for the government).</t>
        </r>
      </text>
    </comment>
    <comment ref="A907" authorId="0" shapeId="0">
      <text>
        <r>
          <rPr>
            <b/>
            <sz val="9"/>
            <color indexed="81"/>
            <rFont val="Geneva"/>
          </rPr>
          <t>Author:</t>
        </r>
        <r>
          <rPr>
            <sz val="9"/>
            <color indexed="81"/>
            <rFont val="Geneva"/>
          </rPr>
          <t xml:space="preserve">
Enter the most recent stock price (how about today's?) in here. If you are assessing the value of the stock, enter your estimate of the expected IPO price</t>
        </r>
      </text>
    </comment>
    <comment ref="A908" authorId="0" shapeId="0">
      <text>
        <r>
          <rPr>
            <b/>
            <sz val="9"/>
            <color indexed="81"/>
            <rFont val="Geneva"/>
          </rPr>
          <t>Author:</t>
        </r>
        <r>
          <rPr>
            <sz val="9"/>
            <color indexed="81"/>
            <rFont val="Geneva"/>
          </rPr>
          <t xml:space="preserve">
Enter the most recent update you have on the number of shares. If you have different classes of shares, aggregate them all and enter one number. Count restricted stock units (RSUs) as shares but don't count shares underlying employee options.</t>
        </r>
      </text>
    </comment>
    <comment ref="A910" authorId="0" shapeId="0">
      <text>
        <r>
          <rPr>
            <b/>
            <sz val="9"/>
            <color indexed="81"/>
            <rFont val="Geneva"/>
          </rPr>
          <t>Author:</t>
        </r>
        <r>
          <rPr>
            <sz val="9"/>
            <color indexed="81"/>
            <rFont val="Geneva"/>
          </rPr>
          <t xml:space="preserve">
If you have a standard deviation for your stock, enter the annualized number. You can use either a historical estimate or an implied standard deviation. If not, use the industry average standard deviation from the table.</t>
        </r>
      </text>
    </comment>
    <comment ref="A911" authorId="0" shapeId="0">
      <text>
        <r>
          <rPr>
            <b/>
            <sz val="9"/>
            <color indexed="81"/>
            <rFont val="Geneva"/>
          </rPr>
          <t>Author:</t>
        </r>
        <r>
          <rPr>
            <sz val="9"/>
            <color indexed="81"/>
            <rFont val="Geneva"/>
          </rPr>
          <t xml:space="preserve">
Divide the dollar dividends (annual) by the stock price.</t>
        </r>
      </text>
    </comment>
    <comment ref="A915" authorId="0" shapeId="0">
      <text>
        <r>
          <rPr>
            <b/>
            <sz val="9"/>
            <color indexed="81"/>
            <rFont val="Geneva"/>
          </rPr>
          <t>Author:</t>
        </r>
        <r>
          <rPr>
            <sz val="9"/>
            <color indexed="81"/>
            <rFont val="Geneva"/>
          </rPr>
          <t xml:space="preserve">
Enter the book value of equity (total) from the end of the most recent time period (i.e. the most recent balance sheet). This book equity will include everything - paid in capital, retained earnings etc. and may even be negative for companies that have been losing money for a while.</t>
        </r>
      </text>
    </comment>
    <comment ref="B915" authorId="0" shapeId="0">
      <text>
        <r>
          <rPr>
            <b/>
            <sz val="9"/>
            <color indexed="81"/>
            <rFont val="Geneva"/>
          </rPr>
          <t>Author:</t>
        </r>
        <r>
          <rPr>
            <sz val="9"/>
            <color indexed="81"/>
            <rFont val="Geneva"/>
          </rPr>
          <t xml:space="preserve">
Enter the book value of equity (total) from the end of the most recent time period (i.e. the most recent balance sheet). This book equity will include everything - paid in capital, retained earnings etc. and may even be negative for companies that have been losing money for a while.</t>
        </r>
      </text>
    </comment>
    <comment ref="A921" authorId="0" shapeId="0">
      <text>
        <r>
          <rPr>
            <b/>
            <sz val="9"/>
            <color indexed="81"/>
            <rFont val="Geneva"/>
          </rPr>
          <t>Author:</t>
        </r>
        <r>
          <rPr>
            <sz val="9"/>
            <color indexed="81"/>
            <rFont val="Geneva"/>
          </rPr>
          <t xml:space="preserve">
Enter the weighted average strike price of your options. (Should be in your 10K or annual report.)</t>
        </r>
      </text>
    </comment>
    <comment ref="A922" authorId="0" shapeId="0">
      <text>
        <r>
          <rPr>
            <b/>
            <sz val="9"/>
            <color indexed="81"/>
            <rFont val="Geneva"/>
          </rPr>
          <t>Author:</t>
        </r>
        <r>
          <rPr>
            <sz val="9"/>
            <color indexed="81"/>
            <rFont val="Geneva"/>
          </rPr>
          <t xml:space="preserve">
The weighted average maturity of your options should be reported in your financial statements.
Do you want to adjust the stated maturity for the fact that employee options are illiquid and get exercised early? If yes, enter the maturity you would like to use in the option pricing model</t>
        </r>
      </text>
    </comment>
    <comment ref="A923" authorId="0" shapeId="0">
      <text>
        <r>
          <rPr>
            <b/>
            <sz val="9"/>
            <color indexed="81"/>
            <rFont val="Geneva"/>
          </rPr>
          <t>Author:</t>
        </r>
        <r>
          <rPr>
            <sz val="9"/>
            <color indexed="81"/>
            <rFont val="Geneva"/>
          </rPr>
          <t xml:space="preserve">
Check your company's annual report or 10K. If it does have options outstanding, enter the total number here (vested and non vested, in the money and out…)</t>
        </r>
      </text>
    </comment>
    <comment ref="A924" authorId="0" shapeId="0">
      <text>
        <r>
          <rPr>
            <b/>
            <sz val="9"/>
            <color indexed="81"/>
            <rFont val="Geneva"/>
          </rPr>
          <t>Author:</t>
        </r>
        <r>
          <rPr>
            <sz val="9"/>
            <color indexed="81"/>
            <rFont val="Geneva"/>
          </rPr>
          <t xml:space="preserve">
The option value below is not adjusted for non-vesting. Do you want to adjust for vesting?</t>
        </r>
      </text>
    </comment>
    <comment ref="A935" authorId="0" shapeId="0">
      <text>
        <r>
          <rPr>
            <b/>
            <sz val="9"/>
            <color indexed="81"/>
            <rFont val="Tahoma"/>
            <family val="2"/>
          </rPr>
          <t>Author:</t>
        </r>
        <r>
          <rPr>
            <sz val="9"/>
            <color indexed="81"/>
            <rFont val="Tahoma"/>
            <family val="2"/>
          </rPr>
          <t xml:space="preserve">
If you have operating leases, please enter your lease commitments in the lease section below and I will convert to debt (with operating leases reclassifed as debt)</t>
        </r>
      </text>
    </comment>
    <comment ref="A936" authorId="0" shapeId="0">
      <text>
        <r>
          <rPr>
            <b/>
            <sz val="9"/>
            <color indexed="81"/>
            <rFont val="Tahoma"/>
            <family val="2"/>
          </rPr>
          <t>Author:</t>
        </r>
        <r>
          <rPr>
            <sz val="9"/>
            <color indexed="81"/>
            <rFont val="Tahoma"/>
            <family val="2"/>
          </rPr>
          <t xml:space="preserve">
This is the interest-bearing debt reported on the balance sheet</t>
        </r>
      </text>
    </comment>
    <comment ref="C936" authorId="0" shapeId="0">
      <text>
        <r>
          <rPr>
            <b/>
            <sz val="9"/>
            <color indexed="81"/>
            <rFont val="Tahoma"/>
            <family val="2"/>
          </rPr>
          <t>Author:</t>
        </r>
        <r>
          <rPr>
            <sz val="9"/>
            <color indexed="81"/>
            <rFont val="Tahoma"/>
            <family val="2"/>
          </rPr>
          <t xml:space="preserve">
no clue! To be determined</t>
        </r>
      </text>
    </comment>
    <comment ref="D936" authorId="0" shapeId="0">
      <text>
        <r>
          <rPr>
            <b/>
            <sz val="9"/>
            <color indexed="81"/>
            <rFont val="Tahoma"/>
            <family val="2"/>
          </rPr>
          <t>Author:</t>
        </r>
        <r>
          <rPr>
            <sz val="9"/>
            <color indexed="81"/>
            <rFont val="Tahoma"/>
            <family val="2"/>
          </rPr>
          <t xml:space="preserve">
no clue! To be determined</t>
        </r>
      </text>
    </comment>
    <comment ref="E936" authorId="0" shapeId="0">
      <text>
        <r>
          <rPr>
            <b/>
            <sz val="9"/>
            <color indexed="81"/>
            <rFont val="Tahoma"/>
            <family val="2"/>
          </rPr>
          <t>Author:</t>
        </r>
        <r>
          <rPr>
            <sz val="9"/>
            <color indexed="81"/>
            <rFont val="Tahoma"/>
            <family val="2"/>
          </rPr>
          <t xml:space="preserve">
no clue! To be determined</t>
        </r>
      </text>
    </comment>
    <comment ref="F936" authorId="0" shapeId="0">
      <text>
        <r>
          <rPr>
            <b/>
            <sz val="9"/>
            <color indexed="81"/>
            <rFont val="Tahoma"/>
            <family val="2"/>
          </rPr>
          <t>Author:</t>
        </r>
        <r>
          <rPr>
            <sz val="9"/>
            <color indexed="81"/>
            <rFont val="Tahoma"/>
            <family val="2"/>
          </rPr>
          <t xml:space="preserve">
no clue! To be determined</t>
        </r>
      </text>
    </comment>
    <comment ref="G936" authorId="0" shapeId="0">
      <text>
        <r>
          <rPr>
            <b/>
            <sz val="9"/>
            <color indexed="81"/>
            <rFont val="Tahoma"/>
            <family val="2"/>
          </rPr>
          <t>Author:</t>
        </r>
        <r>
          <rPr>
            <sz val="9"/>
            <color indexed="81"/>
            <rFont val="Tahoma"/>
            <family val="2"/>
          </rPr>
          <t xml:space="preserve">
no clue! To be determined</t>
        </r>
      </text>
    </comment>
    <comment ref="H936" authorId="0" shapeId="0">
      <text>
        <r>
          <rPr>
            <b/>
            <sz val="9"/>
            <color indexed="81"/>
            <rFont val="Tahoma"/>
            <family val="2"/>
          </rPr>
          <t>Author:</t>
        </r>
        <r>
          <rPr>
            <sz val="9"/>
            <color indexed="81"/>
            <rFont val="Tahoma"/>
            <family val="2"/>
          </rPr>
          <t xml:space="preserve">
no clue! To be determined</t>
        </r>
      </text>
    </comment>
    <comment ref="I936" authorId="0" shapeId="0">
      <text>
        <r>
          <rPr>
            <b/>
            <sz val="9"/>
            <color indexed="81"/>
            <rFont val="Tahoma"/>
            <family val="2"/>
          </rPr>
          <t>Author:</t>
        </r>
        <r>
          <rPr>
            <sz val="9"/>
            <color indexed="81"/>
            <rFont val="Tahoma"/>
            <family val="2"/>
          </rPr>
          <t xml:space="preserve">
no clue! To be determined</t>
        </r>
      </text>
    </comment>
    <comment ref="J936" authorId="0" shapeId="0">
      <text>
        <r>
          <rPr>
            <b/>
            <sz val="9"/>
            <color indexed="81"/>
            <rFont val="Tahoma"/>
            <family val="2"/>
          </rPr>
          <t>Author:</t>
        </r>
        <r>
          <rPr>
            <sz val="9"/>
            <color indexed="81"/>
            <rFont val="Tahoma"/>
            <family val="2"/>
          </rPr>
          <t xml:space="preserve">
no clue! To be determined</t>
        </r>
      </text>
    </comment>
    <comment ref="K936" authorId="0" shapeId="0">
      <text>
        <r>
          <rPr>
            <b/>
            <sz val="9"/>
            <color indexed="81"/>
            <rFont val="Tahoma"/>
            <family val="2"/>
          </rPr>
          <t>Author:</t>
        </r>
        <r>
          <rPr>
            <sz val="9"/>
            <color indexed="81"/>
            <rFont val="Tahoma"/>
            <family val="2"/>
          </rPr>
          <t xml:space="preserve">
no clue! To be determined</t>
        </r>
      </text>
    </comment>
    <comment ref="L936" authorId="0" shapeId="0">
      <text>
        <r>
          <rPr>
            <b/>
            <sz val="9"/>
            <color indexed="81"/>
            <rFont val="Tahoma"/>
            <family val="2"/>
          </rPr>
          <t>Author:</t>
        </r>
        <r>
          <rPr>
            <sz val="9"/>
            <color indexed="81"/>
            <rFont val="Tahoma"/>
            <family val="2"/>
          </rPr>
          <t xml:space="preserve">
no clue! To be determined</t>
        </r>
      </text>
    </comment>
    <comment ref="M936" authorId="0" shapeId="0">
      <text>
        <r>
          <rPr>
            <b/>
            <sz val="9"/>
            <color indexed="81"/>
            <rFont val="Tahoma"/>
            <family val="2"/>
          </rPr>
          <t>Author:</t>
        </r>
        <r>
          <rPr>
            <sz val="9"/>
            <color indexed="81"/>
            <rFont val="Tahoma"/>
            <family val="2"/>
          </rPr>
          <t xml:space="preserve">
no clue! To be determined</t>
        </r>
      </text>
    </comment>
    <comment ref="A946" authorId="0" shapeId="0">
      <text>
        <r>
          <rPr>
            <b/>
            <sz val="9"/>
            <color indexed="81"/>
            <rFont val="Tahoma"/>
            <family val="2"/>
          </rPr>
          <t>Author:</t>
        </r>
        <r>
          <rPr>
            <sz val="9"/>
            <color indexed="81"/>
            <rFont val="Tahoma"/>
            <family val="2"/>
          </rPr>
          <t xml:space="preserve">
Generally found in footnotes to financial statements.</t>
        </r>
      </text>
    </comment>
    <comment ref="A948" authorId="0" shapeId="0">
      <text>
        <r>
          <rPr>
            <b/>
            <sz val="9"/>
            <color indexed="81"/>
            <rFont val="Verdana"/>
            <family val="2"/>
          </rPr>
          <t>Author:</t>
        </r>
        <r>
          <rPr>
            <sz val="9"/>
            <color indexed="81"/>
            <rFont val="Verdana"/>
            <family val="2"/>
          </rPr>
          <t xml:space="preserve">
Enter the book value of interest bearing debt (short and long term) at your company from the most recent balance sheet. (Do not include accounts payable, supplier credit or other non-interest bearing liabilities.) </t>
        </r>
      </text>
    </comment>
    <comment ref="A953" authorId="0" shapeId="0">
      <text>
        <r>
          <rPr>
            <b/>
            <sz val="9"/>
            <color indexed="81"/>
            <rFont val="Tahoma"/>
            <family val="2"/>
          </rPr>
          <t>Author:</t>
        </r>
        <r>
          <rPr>
            <sz val="9"/>
            <color indexed="81"/>
            <rFont val="Tahoma"/>
            <family val="2"/>
          </rPr>
          <t xml:space="preserve">
coupon rate on bond</t>
        </r>
      </text>
    </comment>
    <comment ref="A957" authorId="0" shapeId="0">
      <text>
        <r>
          <rPr>
            <b/>
            <sz val="9"/>
            <color indexed="81"/>
            <rFont val="Geneva"/>
          </rPr>
          <t>Author:</t>
        </r>
        <r>
          <rPr>
            <sz val="9"/>
            <color indexed="81"/>
            <rFont val="Geneva"/>
          </rPr>
          <t xml:space="preserve">
The weighted average maturity of your options should be reported in your financial statements.
Do you want to adjust the stated maturity for the fact that employee options are illiquid and get exercised early? If yes, enter the maturity you would like to use in the option pricing model</t>
        </r>
      </text>
    </comment>
    <comment ref="A958" authorId="0" shapeId="0">
      <text>
        <r>
          <rPr>
            <b/>
            <sz val="9"/>
            <color indexed="81"/>
            <rFont val="Geneva"/>
          </rPr>
          <t>Author:</t>
        </r>
        <r>
          <rPr>
            <sz val="9"/>
            <color indexed="81"/>
            <rFont val="Geneva"/>
          </rPr>
          <t xml:space="preserve">
Enter the weighted average strike price of your options. (Should be in your 10K or annual report.)</t>
        </r>
      </text>
    </comment>
    <comment ref="A959" authorId="0" shapeId="0">
      <text>
        <r>
          <rPr>
            <b/>
            <sz val="9"/>
            <color indexed="81"/>
            <rFont val="Verdana"/>
            <family val="2"/>
          </rPr>
          <t>Author:</t>
        </r>
        <r>
          <rPr>
            <sz val="9"/>
            <color indexed="81"/>
            <rFont val="Verdana"/>
            <family val="2"/>
          </rPr>
          <t xml:space="preserve">
Enter the book value of interest bearing debt (short and long term) at your company from the most recent balance sheet. (Do not include accounts payable, supplier credit or other non-interest bearing liabilities.) </t>
        </r>
      </text>
    </comment>
    <comment ref="A968" authorId="0" shapeId="0">
      <text>
        <r>
          <rPr>
            <b/>
            <sz val="9"/>
            <color indexed="81"/>
            <rFont val="Tahoma"/>
            <family val="2"/>
          </rPr>
          <t>Author:</t>
        </r>
        <r>
          <rPr>
            <sz val="9"/>
            <color indexed="81"/>
            <rFont val="Tahoma"/>
            <family val="2"/>
          </rPr>
          <t xml:space="preserve">
 If you want to capitalize R&amp;D, you have to input the numbers into the R&amp;D worksheet. </t>
        </r>
      </text>
    </comment>
    <comment ref="A969" authorId="0" shapeId="0">
      <text>
        <r>
          <rPr>
            <b/>
            <sz val="9"/>
            <color indexed="81"/>
            <rFont val="Geneva"/>
          </rPr>
          <t>Author:</t>
        </r>
        <r>
          <rPr>
            <sz val="9"/>
            <color indexed="81"/>
            <rFont val="Geneva"/>
          </rPr>
          <t xml:space="preserve">
This section converts R&amp;D expenses from operating to capital expenses. It makes the appropriate adjustments to operating income, net income, the book value of assets and the book value of equity.</t>
        </r>
      </text>
    </comment>
    <comment ref="A983" authorId="0" shapeId="0">
      <text>
        <r>
          <rPr>
            <b/>
            <sz val="9"/>
            <color indexed="81"/>
            <rFont val="Tahoma"/>
            <family val="2"/>
          </rPr>
          <t>Author:</t>
        </r>
        <r>
          <rPr>
            <sz val="9"/>
            <color indexed="81"/>
            <rFont val="Tahoma"/>
            <family val="2"/>
          </rPr>
          <t xml:space="preserve">
Enter the cash balance from the most recent balance sheet. This should include marketable securities.</t>
        </r>
      </text>
    </comment>
    <comment ref="A986" authorId="0" shapeId="0">
      <text>
        <r>
          <rPr>
            <b/>
            <sz val="9"/>
            <color indexed="81"/>
            <rFont val="Geneva"/>
          </rPr>
          <t>Author:</t>
        </r>
        <r>
          <rPr>
            <sz val="9"/>
            <color indexed="81"/>
            <rFont val="Geneva"/>
          </rPr>
          <t xml:space="preserve">
Enter the value of those non-cash assets whose earnings are (and will never) show up as part of operating income. 
The most common non-operating assets are minority holdings in other companies (which are not consoldiated). You can find the book value of these holdings on the balance sheet, but see if you can convert to market value. (I apply a price to book ratio, based on the sector that the company is in to the book value).</t>
        </r>
      </text>
    </comment>
    <comment ref="A991" authorId="0" shapeId="0">
      <text>
        <r>
          <rPr>
            <b/>
            <sz val="9"/>
            <color indexed="81"/>
            <rFont val="Tahoma"/>
            <family val="2"/>
          </rPr>
          <t>Author:</t>
        </r>
        <r>
          <rPr>
            <sz val="9"/>
            <color indexed="81"/>
            <rFont val="Tahoma"/>
            <family val="2"/>
          </rPr>
          <t xml:space="preserve">
Enter the "market" value of minority interests. This is a uniquely accounting item and will be on the liability side of your company's balance sheet. It reflects the requirement that if you own more than 50% of another company or have effective control of it, you have to consolidate that company's statements with yours. Thus, you count 100% of that subsidiaries assets, revenues and operating income with your company, even if you own only 60%. The minority interest reflects the book value of the 40% of the equity in the subsidiary that does not belong to you. Again, it is best if you can convert the book value to a market value by applying the price to book ratio for the sector in which the subsidiary operates</t>
        </r>
      </text>
    </comment>
  </commentList>
</comments>
</file>

<file path=xl/sharedStrings.xml><?xml version="1.0" encoding="utf-8"?>
<sst xmlns="http://schemas.openxmlformats.org/spreadsheetml/2006/main" count="1075" uniqueCount="513">
  <si>
    <t>Last Fiscal Year</t>
  </si>
  <si>
    <t>Company Name</t>
  </si>
  <si>
    <t>Last Update</t>
  </si>
  <si>
    <t>Direct input</t>
  </si>
  <si>
    <t>Reinvestment</t>
  </si>
  <si>
    <t>United Kingdom</t>
  </si>
  <si>
    <t>Yes</t>
  </si>
  <si>
    <t>Effective tax rate</t>
  </si>
  <si>
    <t>Cost of capital</t>
  </si>
  <si>
    <t>Value of operating assets</t>
  </si>
  <si>
    <t>Country of incorporation</t>
  </si>
  <si>
    <t>Industry (US)</t>
  </si>
  <si>
    <t>Industry (Global)</t>
  </si>
  <si>
    <t>Apple</t>
  </si>
  <si>
    <t>United States of America</t>
  </si>
  <si>
    <t>Computers/Peripherals</t>
  </si>
  <si>
    <t>Estimated value per share</t>
  </si>
  <si>
    <t>Current Stock Price</t>
  </si>
  <si>
    <t>Number of shares outstanding</t>
  </si>
  <si>
    <t>Revenues</t>
  </si>
  <si>
    <t>Operating income or EBIT</t>
  </si>
  <si>
    <t>Interest expense</t>
  </si>
  <si>
    <t>Do you have R&amp;D expenses to capitalize?</t>
  </si>
  <si>
    <t>Do you have operating lease commitments?</t>
  </si>
  <si>
    <t>Marginal tax rate</t>
  </si>
  <si>
    <t>Sales to capital ratio  (for computing reinvestment)</t>
  </si>
  <si>
    <t>Compounded annual revenue growth rate</t>
  </si>
  <si>
    <t>Target pre-tax operating margin (EBIT as % of sales)</t>
  </si>
  <si>
    <t>Riskfree rate</t>
  </si>
  <si>
    <t>Do you have employee options outstanding?</t>
  </si>
  <si>
    <t>Average strike price</t>
  </si>
  <si>
    <t>Average maturity</t>
  </si>
  <si>
    <t>Standard deviation on stock price</t>
  </si>
  <si>
    <t>Cost of Capital</t>
  </si>
  <si>
    <t>Amount of trapped cash</t>
  </si>
  <si>
    <t>F4</t>
  </si>
  <si>
    <t>F3</t>
  </si>
  <si>
    <t>F2</t>
  </si>
  <si>
    <t>F1</t>
  </si>
  <si>
    <t>Approach for estimating beta</t>
  </si>
  <si>
    <t>B1</t>
  </si>
  <si>
    <t>B2</t>
  </si>
  <si>
    <t>B3</t>
  </si>
  <si>
    <t>B4</t>
  </si>
  <si>
    <t>B5</t>
  </si>
  <si>
    <t>B6</t>
  </si>
  <si>
    <t>B7</t>
  </si>
  <si>
    <t>B8</t>
  </si>
  <si>
    <t>B9</t>
  </si>
  <si>
    <t>B10</t>
  </si>
  <si>
    <t>Revenues:</t>
  </si>
  <si>
    <t>EV/Sales:</t>
  </si>
  <si>
    <t>Estimated Value:</t>
  </si>
  <si>
    <t>Unlevered Beta:</t>
  </si>
  <si>
    <t>Weights:</t>
  </si>
  <si>
    <t>Multi Business (Global Industry Averages)</t>
  </si>
  <si>
    <t>Weighted ERP:</t>
  </si>
  <si>
    <t>Factors:</t>
  </si>
  <si>
    <t>ERP:</t>
  </si>
  <si>
    <t>F5</t>
  </si>
  <si>
    <t>F6</t>
  </si>
  <si>
    <t>F7</t>
  </si>
  <si>
    <t>F8</t>
  </si>
  <si>
    <t>F9</t>
  </si>
  <si>
    <t>F10</t>
  </si>
  <si>
    <t>Equity Risk Premium used in cost of equity</t>
  </si>
  <si>
    <t>What approach do you want to use to input ERP?</t>
  </si>
  <si>
    <t>Unlevered beta used in cost of equity</t>
  </si>
  <si>
    <t>A2/A</t>
  </si>
  <si>
    <t>Book value most recent fiscal year</t>
  </si>
  <si>
    <t>Market value</t>
  </si>
  <si>
    <t>Annual Dividend per Share</t>
  </si>
  <si>
    <t>Current Market Price per Share</t>
  </si>
  <si>
    <t>Number of Preferred Shares</t>
  </si>
  <si>
    <t>Straight preferred stock</t>
  </si>
  <si>
    <t>Enterprise Value</t>
  </si>
  <si>
    <t>Value of all options (pre-tax &amp; adjusted for vesting)</t>
  </si>
  <si>
    <t>Convertible debt</t>
  </si>
  <si>
    <t>Estimated Value of Debt</t>
  </si>
  <si>
    <t>Estimated Value of Equity</t>
  </si>
  <si>
    <t>Estimated Value of preferred stock</t>
  </si>
  <si>
    <t>Employee options</t>
  </si>
  <si>
    <t>Dividend yield on stock (if any)</t>
  </si>
  <si>
    <t>Treasury bond rate</t>
  </si>
  <si>
    <t>Value of all options (pre-tax)</t>
  </si>
  <si>
    <t>Likelihood that these options will be vested</t>
  </si>
  <si>
    <t>Estimated Adj. Stock Price</t>
  </si>
  <si>
    <t>Number of shares (primary)</t>
  </si>
  <si>
    <t>Market price/share</t>
  </si>
  <si>
    <t>Market Capitalization</t>
  </si>
  <si>
    <t>Estimated Value per option</t>
  </si>
  <si>
    <t>Number of warrants (options) outstanding</t>
  </si>
  <si>
    <t>Operating leases</t>
  </si>
  <si>
    <t>Current year's operating lease expense</t>
  </si>
  <si>
    <t>Lease commitment - year 1</t>
  </si>
  <si>
    <t>Lease commitment - year 2</t>
  </si>
  <si>
    <t>Lease commitment - year 3</t>
  </si>
  <si>
    <t>Lease commitment - year 4</t>
  </si>
  <si>
    <t>Lease commitment - year 5</t>
  </si>
  <si>
    <t>Lease commitment - Beyond last year</t>
  </si>
  <si>
    <t>Number of years</t>
  </si>
  <si>
    <t>Number of years embedded in leases</t>
  </si>
  <si>
    <t>After-tax adjustment to net income</t>
  </si>
  <si>
    <t>Effective Tax Rate</t>
  </si>
  <si>
    <t>Interest coverage ratio</t>
  </si>
  <si>
    <t>Risk-free rate</t>
  </si>
  <si>
    <t>Country Default Spread (if any)</t>
  </si>
  <si>
    <t>Cost of Debt</t>
  </si>
  <si>
    <t>Rating is</t>
  </si>
  <si>
    <t>Spread is</t>
  </si>
  <si>
    <t>A1/A+</t>
  </si>
  <si>
    <t>A3/A-</t>
  </si>
  <si>
    <t>Aa2/AA</t>
  </si>
  <si>
    <t>Aaa/AAA</t>
  </si>
  <si>
    <t>B1/B+</t>
  </si>
  <si>
    <t>B2/B</t>
  </si>
  <si>
    <t>B3/B-</t>
  </si>
  <si>
    <t>Ba1/BB+</t>
  </si>
  <si>
    <t>Ba2/BB</t>
  </si>
  <si>
    <t>Baa2/BBB</t>
  </si>
  <si>
    <t>C2/C</t>
  </si>
  <si>
    <t>Ca2/CC</t>
  </si>
  <si>
    <t>Caa/CCC</t>
  </si>
  <si>
    <t>D2/D</t>
  </si>
  <si>
    <t>For large manufacturing firms</t>
  </si>
  <si>
    <t>If interest coverage ratio is</t>
  </si>
  <si>
    <t>&gt;</t>
  </si>
  <si>
    <t>≤ to</t>
  </si>
  <si>
    <t>For smaller and riskier firms</t>
  </si>
  <si>
    <t>greater than</t>
  </si>
  <si>
    <t>Estimated Cost of Debt</t>
  </si>
  <si>
    <t>Cost of Equity</t>
  </si>
  <si>
    <t>Risk Premium</t>
  </si>
  <si>
    <t>Market D/E ratio</t>
  </si>
  <si>
    <t>Unlevered Beta</t>
  </si>
  <si>
    <t>Levered beta</t>
  </si>
  <si>
    <t>Synthetic Rating</t>
  </si>
  <si>
    <t>Approach for estimating pre-tax cost of debt</t>
  </si>
  <si>
    <t>Actual Rating</t>
  </si>
  <si>
    <t>Direct Input</t>
  </si>
  <si>
    <t>Actual Company Default Spread</t>
  </si>
  <si>
    <t>Synthetic Rating Type</t>
  </si>
  <si>
    <t>Synthetic Bond Rating</t>
  </si>
  <si>
    <t>Country</t>
  </si>
  <si>
    <t>GDP (in billions)</t>
  </si>
  <si>
    <t>Adj. Default Spread</t>
  </si>
  <si>
    <t>Total Risk Premium</t>
  </si>
  <si>
    <t>Country Risk Premium</t>
  </si>
  <si>
    <t>Region</t>
  </si>
  <si>
    <t>Abu Dhabi</t>
  </si>
  <si>
    <t>Middle East</t>
  </si>
  <si>
    <t>Albania</t>
  </si>
  <si>
    <t>Eastern Europe &amp; Russia</t>
  </si>
  <si>
    <t>Andorra (Principality of)</t>
  </si>
  <si>
    <t>Western Europe</t>
  </si>
  <si>
    <t>Angola</t>
  </si>
  <si>
    <t>Africa</t>
  </si>
  <si>
    <t>Argentina</t>
  </si>
  <si>
    <t>Central and South America</t>
  </si>
  <si>
    <t>Armenia</t>
  </si>
  <si>
    <t>Aruba</t>
  </si>
  <si>
    <t>Caribbean</t>
  </si>
  <si>
    <t>Australia</t>
  </si>
  <si>
    <t>Australia &amp; New Zealand</t>
  </si>
  <si>
    <t>Austria</t>
  </si>
  <si>
    <t>Azerbaijan</t>
  </si>
  <si>
    <t>Bahamas</t>
  </si>
  <si>
    <t>Bahrain</t>
  </si>
  <si>
    <t>Bangladesh</t>
  </si>
  <si>
    <t>Asia</t>
  </si>
  <si>
    <t>Barbados</t>
  </si>
  <si>
    <t>Belarus</t>
  </si>
  <si>
    <t>Belgium</t>
  </si>
  <si>
    <t>Belize</t>
  </si>
  <si>
    <t>Bermuda</t>
  </si>
  <si>
    <t>Bolivia</t>
  </si>
  <si>
    <t>Bosnia and Herzegovina</t>
  </si>
  <si>
    <t>Botswana</t>
  </si>
  <si>
    <t>Brazil</t>
  </si>
  <si>
    <t>Bulgaria</t>
  </si>
  <si>
    <t>Burkina Faso</t>
  </si>
  <si>
    <t>Cambodia</t>
  </si>
  <si>
    <t>Cameroon</t>
  </si>
  <si>
    <t>Canada</t>
  </si>
  <si>
    <t>North America</t>
  </si>
  <si>
    <t>Cayman Islands</t>
  </si>
  <si>
    <t>Cape Verde</t>
  </si>
  <si>
    <t>Chile</t>
  </si>
  <si>
    <t>China</t>
  </si>
  <si>
    <t>Colombia</t>
  </si>
  <si>
    <t>Congo (Democratic Republic of)</t>
  </si>
  <si>
    <t>Congo (Republic of)</t>
  </si>
  <si>
    <t>Cook Islands</t>
  </si>
  <si>
    <t>Costa Rica</t>
  </si>
  <si>
    <t>Côte d'Ivoire</t>
  </si>
  <si>
    <t>Croatia</t>
  </si>
  <si>
    <t>Cuba</t>
  </si>
  <si>
    <t>Curacao</t>
  </si>
  <si>
    <t>Cyprus</t>
  </si>
  <si>
    <t>Czech Republic</t>
  </si>
  <si>
    <t>Denmark</t>
  </si>
  <si>
    <t>Dominican Republic</t>
  </si>
  <si>
    <t>Ecuador</t>
  </si>
  <si>
    <t>Egypt</t>
  </si>
  <si>
    <t>El Salvador</t>
  </si>
  <si>
    <t>Estonia</t>
  </si>
  <si>
    <t>Ethiopia</t>
  </si>
  <si>
    <t>Fiji</t>
  </si>
  <si>
    <t>Finland</t>
  </si>
  <si>
    <t>France</t>
  </si>
  <si>
    <t>Gabon</t>
  </si>
  <si>
    <t>Georgia</t>
  </si>
  <si>
    <t>Germany</t>
  </si>
  <si>
    <t>Ghana</t>
  </si>
  <si>
    <t>Greece</t>
  </si>
  <si>
    <t>Guatemala</t>
  </si>
  <si>
    <t>Guernsey (States of)</t>
  </si>
  <si>
    <t>Honduras</t>
  </si>
  <si>
    <t>Hong Kong</t>
  </si>
  <si>
    <t>Hungary</t>
  </si>
  <si>
    <t>Iceland</t>
  </si>
  <si>
    <t>India</t>
  </si>
  <si>
    <t>Indonesia</t>
  </si>
  <si>
    <t>Ireland</t>
  </si>
  <si>
    <t>Isle of Man</t>
  </si>
  <si>
    <t>Israel</t>
  </si>
  <si>
    <t>Italy</t>
  </si>
  <si>
    <t>Jamaica</t>
  </si>
  <si>
    <t>Japan</t>
  </si>
  <si>
    <t>Jersey (States of)</t>
  </si>
  <si>
    <t>Jordan</t>
  </si>
  <si>
    <t>Kazakhstan</t>
  </si>
  <si>
    <t>Kenya</t>
  </si>
  <si>
    <t>Korea</t>
  </si>
  <si>
    <t>Kuwait</t>
  </si>
  <si>
    <t>Latvia</t>
  </si>
  <si>
    <t>Lebanon</t>
  </si>
  <si>
    <t>Liechtenstein</t>
  </si>
  <si>
    <t>Lithuania</t>
  </si>
  <si>
    <t>Luxembourg</t>
  </si>
  <si>
    <t>Macao</t>
  </si>
  <si>
    <t>Macedonia</t>
  </si>
  <si>
    <t>Malaysia</t>
  </si>
  <si>
    <t>Malta</t>
  </si>
  <si>
    <t>Mauritius</t>
  </si>
  <si>
    <t>Mexico</t>
  </si>
  <si>
    <t>Moldova</t>
  </si>
  <si>
    <t>Mongolia</t>
  </si>
  <si>
    <t>Montenegro</t>
  </si>
  <si>
    <t>Montserrat</t>
  </si>
  <si>
    <t>Morocco</t>
  </si>
  <si>
    <t>Mozambique</t>
  </si>
  <si>
    <t>Namibia</t>
  </si>
  <si>
    <t>Netherlands</t>
  </si>
  <si>
    <t>New Zealand</t>
  </si>
  <si>
    <t>Nicaragua</t>
  </si>
  <si>
    <t>Nigeria</t>
  </si>
  <si>
    <t>Norway</t>
  </si>
  <si>
    <t>Oman</t>
  </si>
  <si>
    <t>Pakistan</t>
  </si>
  <si>
    <t>Panama</t>
  </si>
  <si>
    <t>Papua New Guinea</t>
  </si>
  <si>
    <t>Paraguay</t>
  </si>
  <si>
    <t>Peru</t>
  </si>
  <si>
    <t>Philippines</t>
  </si>
  <si>
    <t>Poland</t>
  </si>
  <si>
    <t>Portugal</t>
  </si>
  <si>
    <t>Qatar</t>
  </si>
  <si>
    <t>Ras Al Khaimah (Emirate of)</t>
  </si>
  <si>
    <t>Romania</t>
  </si>
  <si>
    <t>Russia</t>
  </si>
  <si>
    <t>Rwanda</t>
  </si>
  <si>
    <t>Saudi Arabia</t>
  </si>
  <si>
    <t>Senegal</t>
  </si>
  <si>
    <t>Serbia</t>
  </si>
  <si>
    <t>Sharjah</t>
  </si>
  <si>
    <t>Singapore</t>
  </si>
  <si>
    <t>Slovakia</t>
  </si>
  <si>
    <t>Slovenia</t>
  </si>
  <si>
    <t>South Africa</t>
  </si>
  <si>
    <t>Spain</t>
  </si>
  <si>
    <t>Sri Lanka</t>
  </si>
  <si>
    <t>St. Maarten</t>
  </si>
  <si>
    <t>St. Vincent &amp; the Grenadines</t>
  </si>
  <si>
    <t>Suriname</t>
  </si>
  <si>
    <t>Sweden</t>
  </si>
  <si>
    <t>Switzerland</t>
  </si>
  <si>
    <t>Taiwan</t>
  </si>
  <si>
    <t>Thailand</t>
  </si>
  <si>
    <t>Trinidad and Tobago</t>
  </si>
  <si>
    <t>Tunisia</t>
  </si>
  <si>
    <t>Turkey</t>
  </si>
  <si>
    <t>Turks and Caicos Islands</t>
  </si>
  <si>
    <t>Uganda</t>
  </si>
  <si>
    <t>Ukraine</t>
  </si>
  <si>
    <t>United Arab Emirates</t>
  </si>
  <si>
    <t>Uruguay</t>
  </si>
  <si>
    <t>Venezuela</t>
  </si>
  <si>
    <t>Vietnam</t>
  </si>
  <si>
    <t>Zambia</t>
  </si>
  <si>
    <t>ERP</t>
  </si>
  <si>
    <t>CRP</t>
  </si>
  <si>
    <t>Default Spread</t>
  </si>
  <si>
    <t>Global</t>
  </si>
  <si>
    <t>Pre-tax Cost of Debt</t>
  </si>
  <si>
    <t>Adjustment to Total Debt outstanding</t>
  </si>
  <si>
    <t>Adjustment to Depreciation</t>
  </si>
  <si>
    <t>Adjustment to Operating Earnings</t>
  </si>
  <si>
    <t>Estimated Cost of Equity</t>
  </si>
  <si>
    <t>Estimated Cost of preferred stock</t>
  </si>
  <si>
    <t>Cost of Preferred Stock</t>
  </si>
  <si>
    <t>Market Value of Capital</t>
  </si>
  <si>
    <t>Weight in Cost of Capital</t>
  </si>
  <si>
    <t>Market Value of Equity</t>
  </si>
  <si>
    <t>Equity Weight in Cost of Capital</t>
  </si>
  <si>
    <t>Equity Cost of Component</t>
  </si>
  <si>
    <t>Market Value of Preferred Stock</t>
  </si>
  <si>
    <t>Preferred Stock Weight in Cost of Capital</t>
  </si>
  <si>
    <t>Preferred Stock Cost of Component</t>
  </si>
  <si>
    <t>Market Value of Debt</t>
  </si>
  <si>
    <t>Debt Weight in Cost of Capital</t>
  </si>
  <si>
    <t>Debt Cost of Component</t>
  </si>
  <si>
    <t>Weighted Avg. Cost of capital</t>
  </si>
  <si>
    <t>Synthetic Company Default Spread</t>
  </si>
  <si>
    <t>Estimated Minority interest market value</t>
  </si>
  <si>
    <t>Cash &amp; Marketable Securities</t>
  </si>
  <si>
    <t>Minority interest market value</t>
  </si>
  <si>
    <t>Firm Value (with minority interest)</t>
  </si>
  <si>
    <t>Estimated Enterprise Value</t>
  </si>
  <si>
    <t>- Goodwill</t>
  </si>
  <si>
    <t>Portion of goodwill left in invested capital (as %)</t>
  </si>
  <si>
    <t>+ Capitalized leases</t>
  </si>
  <si>
    <t>+ Capitalized R&amp;D</t>
  </si>
  <si>
    <t>Invested Capital</t>
  </si>
  <si>
    <t>EV / Invested Capital</t>
  </si>
  <si>
    <t>Estimated Invested Capital</t>
  </si>
  <si>
    <t>Book Value of Capital</t>
  </si>
  <si>
    <t>Estimated Book value of Capital</t>
  </si>
  <si>
    <t>+Book value of Capital</t>
  </si>
  <si>
    <t>Goodwill</t>
  </si>
  <si>
    <t>After-tax Adjustment to Net Income</t>
  </si>
  <si>
    <t>Adjustment to Operating Income</t>
  </si>
  <si>
    <t>Amortization of asset for current year</t>
  </si>
  <si>
    <t>Value of Research Asset</t>
  </si>
  <si>
    <t>Periods to amortize R&amp;D expenses</t>
  </si>
  <si>
    <t>Current year's R&amp;D expense</t>
  </si>
  <si>
    <t>year -1</t>
  </si>
  <si>
    <t>year -2</t>
  </si>
  <si>
    <t>year -3</t>
  </si>
  <si>
    <t>year -4</t>
  </si>
  <si>
    <t>year -5</t>
  </si>
  <si>
    <t>year -6</t>
  </si>
  <si>
    <t>year -7</t>
  </si>
  <si>
    <t>year -8</t>
  </si>
  <si>
    <t>year -9</t>
  </si>
  <si>
    <t>year -10</t>
  </si>
  <si>
    <t>Equity</t>
  </si>
  <si>
    <t>Preferred Stock</t>
  </si>
  <si>
    <t>Debt</t>
  </si>
  <si>
    <t>NOL</t>
  </si>
  <si>
    <t>Terminal cash flow</t>
  </si>
  <si>
    <t>Terminal WACC</t>
  </si>
  <si>
    <t>IPO Proceeds Type</t>
  </si>
  <si>
    <t>Number of shares that will be sold on offering date</t>
  </si>
  <si>
    <t>Percentage of the proceeds that be withdrawn by owners</t>
  </si>
  <si>
    <t>Current stock price</t>
  </si>
  <si>
    <t>Expected proceeds from IPO</t>
  </si>
  <si>
    <t>Probability of distress (failure)</t>
  </si>
  <si>
    <t>Distress Type</t>
  </si>
  <si>
    <t>Distress sale proceeds if firm fails</t>
  </si>
  <si>
    <t>- Preferred stock</t>
  </si>
  <si>
    <t>- Tax on Trapped Cash</t>
  </si>
  <si>
    <t>+ IPO Proceeds</t>
  </si>
  <si>
    <t>Value of equity</t>
  </si>
  <si>
    <t>- Options outstanding</t>
  </si>
  <si>
    <t>- Equity portion of convertible debt</t>
  </si>
  <si>
    <t>Value of equity in common stock</t>
  </si>
  <si>
    <t>Price as % of value</t>
  </si>
  <si>
    <t>IPO Proceeds</t>
  </si>
  <si>
    <t>Estimated IPO Proceeds</t>
  </si>
  <si>
    <t>Weighted average tax rate of the foreign markets</t>
  </si>
  <si>
    <t>Marginal Tax Rate</t>
  </si>
  <si>
    <t>Estimated Tax on Trapped Cash</t>
  </si>
  <si>
    <t>Trapped Cash</t>
  </si>
  <si>
    <t># Shares/convertible bond</t>
  </si>
  <si>
    <t>Do you have convertible debt outstanding?</t>
  </si>
  <si>
    <t>Estimated Value of the call</t>
  </si>
  <si>
    <t>Interest rate on straight bond (same risk as company)</t>
  </si>
  <si>
    <t>Proposed interest rate on convertible bond</t>
  </si>
  <si>
    <t>No</t>
  </si>
  <si>
    <t>Estimated Value of the convertible bond</t>
  </si>
  <si>
    <t>Estimated Value of equity in common stock</t>
  </si>
  <si>
    <t>Assume that your firm has no chance of failure</t>
  </si>
  <si>
    <t>Distress proceeds as % of book or fair value</t>
  </si>
  <si>
    <t>Revenue growth rate</t>
  </si>
  <si>
    <t>EBIT (Operating) margin</t>
  </si>
  <si>
    <t>EBIT (Operating income)</t>
  </si>
  <si>
    <t>Tax rate</t>
  </si>
  <si>
    <t>Assume that effective tax rate will adjust to the marginal tax rate</t>
  </si>
  <si>
    <t>EBIT(1-t)</t>
  </si>
  <si>
    <t>ROIC</t>
  </si>
  <si>
    <t>Assume cost of capital similar to that of typical mature companies</t>
  </si>
  <si>
    <t>Assume that it will earn a return on capital equal to its cost of capital</t>
  </si>
  <si>
    <t>If no, enter the Return on Capital</t>
  </si>
  <si>
    <t>FCFF</t>
  </si>
  <si>
    <t>Estimated Value of operating assets</t>
  </si>
  <si>
    <t>Terminal Value</t>
  </si>
  <si>
    <t>PV(Terminal Value)</t>
  </si>
  <si>
    <r>
      <t>Change in operating income (</t>
    </r>
    <r>
      <rPr>
        <i/>
        <sz val="10"/>
        <rFont val="Times New Roman"/>
        <family val="1"/>
      </rPr>
      <t>EBIT</t>
    </r>
    <r>
      <rPr>
        <sz val="10"/>
        <rFont val="Times New Roman"/>
        <family val="1"/>
      </rPr>
      <t>)</t>
    </r>
  </si>
  <si>
    <t>How much capital invested?</t>
  </si>
  <si>
    <t>Valuation Diagnostics</t>
  </si>
  <si>
    <t>Your calculated value as a percent of current price</t>
  </si>
  <si>
    <t>Invested capital at start of valuation</t>
  </si>
  <si>
    <t>Invested capital at end of valuation</t>
  </si>
  <si>
    <r>
      <t>Return on capital (</t>
    </r>
    <r>
      <rPr>
        <i/>
        <sz val="10"/>
        <rFont val="Times New Roman"/>
        <family val="1"/>
      </rPr>
      <t>ROIC</t>
    </r>
    <r>
      <rPr>
        <sz val="10"/>
        <rFont val="Times New Roman"/>
        <family val="1"/>
      </rPr>
      <t>) at end of valuation</t>
    </r>
  </si>
  <si>
    <t>Change in invested capital over the valuation periods</t>
  </si>
  <si>
    <r>
      <t>Marginal return on capital (</t>
    </r>
    <r>
      <rPr>
        <i/>
        <sz val="10"/>
        <rFont val="Times New Roman"/>
        <family val="1"/>
      </rPr>
      <t>ROIC</t>
    </r>
    <r>
      <rPr>
        <sz val="10"/>
        <rFont val="Times New Roman"/>
        <family val="1"/>
      </rPr>
      <t>) over the valuation periods</t>
    </r>
  </si>
  <si>
    <t>Actual Company Rating</t>
  </si>
  <si>
    <t>Actual Cost of Debt</t>
  </si>
  <si>
    <t>Synthetic Cost of Debt</t>
  </si>
  <si>
    <t>Shareholders Equity Book value</t>
  </si>
  <si>
    <t>Estimated Market Capitalization</t>
  </si>
  <si>
    <t>Inputted Value per option</t>
  </si>
  <si>
    <t>Selected Value per option</t>
  </si>
  <si>
    <t>- Debt portion of convertible Debt</t>
  </si>
  <si>
    <t>Face value on convertible bond</t>
  </si>
  <si>
    <t>Average maturity on convertible bond</t>
  </si>
  <si>
    <t>Average strike price on convertible bond</t>
  </si>
  <si>
    <t>Inputted Value of the call</t>
  </si>
  <si>
    <t>Selected Value of the call</t>
  </si>
  <si>
    <t>- Cash &amp; Marketable Securities</t>
  </si>
  <si>
    <t>+ Cash &amp; Marketable Securities</t>
  </si>
  <si>
    <t>Minority Interests (in consolidated entities)</t>
  </si>
  <si>
    <t xml:space="preserve"> - Minority Interest (Non-controlling equity interest)</t>
  </si>
  <si>
    <t>Estimated Goodwill</t>
  </si>
  <si>
    <t xml:space="preserve">Interest bearing Debt </t>
  </si>
  <si>
    <t>Cross holdings and other non-operating assets</t>
  </si>
  <si>
    <t>Estimated Cross holdings and other non-operating assets</t>
  </si>
  <si>
    <t>- Cross holdings and other non-operating assets</t>
  </si>
  <si>
    <t>+ Cross holdings and other non-operating assets</t>
  </si>
  <si>
    <t>Price to book ratio</t>
  </si>
  <si>
    <t>Pension Liabilities</t>
  </si>
  <si>
    <t>Estimated Value</t>
  </si>
  <si>
    <t>+ Pension Liabilities</t>
  </si>
  <si>
    <t>- Total Debt, including operating leases</t>
  </si>
  <si>
    <t>- Pension Liabilities</t>
  </si>
  <si>
    <t>What percentage of this cost is tax deductible?</t>
  </si>
  <si>
    <t>Expected liability</t>
  </si>
  <si>
    <t>Legal Costs/ Payouts from Private Lawsuits</t>
  </si>
  <si>
    <t>Drop in annual operating income</t>
  </si>
  <si>
    <t>How long  operating income will stay depressed?</t>
  </si>
  <si>
    <t>Expected Growth Rate</t>
  </si>
  <si>
    <t>Scandal Effect on Value</t>
  </si>
  <si>
    <t>One time Fines/Penalties (Government-Imposed)</t>
  </si>
  <si>
    <t>Legal Costs/Payouts (Private Lawsuits)</t>
  </si>
  <si>
    <t>Reputation Loss (Lost operating income)</t>
  </si>
  <si>
    <t>Scandal Effects</t>
  </si>
  <si>
    <t>- Scandal Effect</t>
  </si>
  <si>
    <r>
      <t>EBIT</t>
    </r>
    <r>
      <rPr>
        <vertAlign val="subscript"/>
        <sz val="10"/>
        <color theme="1"/>
        <rFont val="Times New Roman"/>
        <family val="1"/>
      </rPr>
      <t>0</t>
    </r>
    <r>
      <rPr>
        <sz val="10"/>
        <color theme="1"/>
        <rFont val="Times New Roman"/>
        <family val="1"/>
      </rPr>
      <t xml:space="preserve"> (1- tax rate)</t>
    </r>
  </si>
  <si>
    <t>Reinvestment rate</t>
  </si>
  <si>
    <t>Perpetual growth rate</t>
  </si>
  <si>
    <t>Risk free rate used in the valuation</t>
  </si>
  <si>
    <t>Tax rate used for cash flows to start the valuation</t>
  </si>
  <si>
    <t>Cost of capital at the start of DCF</t>
  </si>
  <si>
    <t>Operating income in terminal year</t>
  </si>
  <si>
    <t>After-tax operating income in terminal year</t>
  </si>
  <si>
    <t>FCFF in terminal year</t>
  </si>
  <si>
    <t>Cost of capital in perpetuity</t>
  </si>
  <si>
    <t>Return on capital in perpetuity has to be</t>
  </si>
  <si>
    <t>Reinvestment rate in perpetuity</t>
  </si>
  <si>
    <t>Cost of capital check</t>
  </si>
  <si>
    <t>Tax rate check</t>
  </si>
  <si>
    <t>Growth rate check</t>
  </si>
  <si>
    <t>Stable company cost of capital</t>
  </si>
  <si>
    <t>Current terminal value, based on inputs</t>
  </si>
  <si>
    <t>Terminal Analysis</t>
  </si>
  <si>
    <r>
      <t>Average cost of capital (</t>
    </r>
    <r>
      <rPr>
        <i/>
        <sz val="10"/>
        <rFont val="Times New Roman"/>
        <family val="1"/>
      </rPr>
      <t>WACC</t>
    </r>
    <r>
      <rPr>
        <sz val="10"/>
        <rFont val="Times New Roman"/>
        <family val="1"/>
      </rPr>
      <t>) over the valuation periods</t>
    </r>
  </si>
  <si>
    <r>
      <t>Change in after-tax operating income (</t>
    </r>
    <r>
      <rPr>
        <i/>
        <sz val="10"/>
        <rFont val="Times New Roman"/>
        <family val="1"/>
      </rPr>
      <t>EBIT*(1-t)</t>
    </r>
    <r>
      <rPr>
        <sz val="10"/>
        <rFont val="Times New Roman"/>
        <family val="1"/>
      </rPr>
      <t>)</t>
    </r>
  </si>
  <si>
    <t>Terminal value with corrections</t>
  </si>
  <si>
    <t xml:space="preserve"> Reinvestment rate</t>
  </si>
  <si>
    <t>% difference between estimate and default value</t>
  </si>
  <si>
    <t>PV (CF  over the valuation periods)</t>
  </si>
  <si>
    <t>Shareholders Equity</t>
  </si>
  <si>
    <t>Interest bearing Debt</t>
  </si>
  <si>
    <t>Cash and Marketable Securities</t>
  </si>
  <si>
    <t xml:space="preserve">Adj. Operating Income (EBIT) </t>
  </si>
  <si>
    <t>Adj. Interest expense</t>
  </si>
  <si>
    <r>
      <t>Reinvestment Rate</t>
    </r>
    <r>
      <rPr>
        <vertAlign val="subscript"/>
        <sz val="10"/>
        <color theme="1"/>
        <rFont val="Times New Roman"/>
        <family val="1"/>
      </rPr>
      <t>t0</t>
    </r>
  </si>
  <si>
    <r>
      <t>NOL</t>
    </r>
    <r>
      <rPr>
        <vertAlign val="subscript"/>
        <sz val="10"/>
        <color theme="1"/>
        <rFont val="Times New Roman"/>
        <family val="1"/>
      </rPr>
      <t>t1</t>
    </r>
  </si>
  <si>
    <t>SCENARIOS</t>
  </si>
  <si>
    <t>INPUTS / ASSUMPTIONS</t>
  </si>
  <si>
    <t>CALCULATIONS / VALUATION</t>
  </si>
  <si>
    <t>Length of growth period</t>
  </si>
  <si>
    <t>Growth Assumptions</t>
  </si>
  <si>
    <t>Stable Assumptions</t>
  </si>
  <si>
    <t>Stable Growth Period</t>
  </si>
  <si>
    <t>Terminal Statistics</t>
  </si>
  <si>
    <t>Trailing 12 month data</t>
  </si>
  <si>
    <t>Circular Breaker</t>
  </si>
  <si>
    <t>R&amp;D</t>
  </si>
  <si>
    <t>Free Cash Flow</t>
  </si>
  <si>
    <r>
      <t>year</t>
    </r>
    <r>
      <rPr>
        <vertAlign val="subscript"/>
        <sz val="10"/>
        <color theme="1"/>
        <rFont val="Times New Roman"/>
        <family val="1"/>
      </rPr>
      <t xml:space="preserve"> -1</t>
    </r>
  </si>
  <si>
    <r>
      <t>year</t>
    </r>
    <r>
      <rPr>
        <vertAlign val="subscript"/>
        <sz val="10"/>
        <color theme="1"/>
        <rFont val="Times New Roman"/>
        <family val="1"/>
      </rPr>
      <t xml:space="preserve"> -2</t>
    </r>
  </si>
  <si>
    <r>
      <t>year</t>
    </r>
    <r>
      <rPr>
        <vertAlign val="subscript"/>
        <sz val="10"/>
        <color theme="1"/>
        <rFont val="Times New Roman"/>
        <family val="1"/>
      </rPr>
      <t xml:space="preserve"> -3</t>
    </r>
  </si>
  <si>
    <r>
      <t>year</t>
    </r>
    <r>
      <rPr>
        <vertAlign val="subscript"/>
        <sz val="10"/>
        <color theme="1"/>
        <rFont val="Times New Roman"/>
        <family val="1"/>
      </rPr>
      <t xml:space="preserve"> -4</t>
    </r>
  </si>
  <si>
    <t>Method</t>
  </si>
  <si>
    <t>Calculated</t>
  </si>
  <si>
    <t>Operating Regions</t>
  </si>
  <si>
    <t>ERP Method</t>
  </si>
  <si>
    <t>Sales to Capital</t>
  </si>
  <si>
    <t>Discount Factor</t>
  </si>
  <si>
    <t>FCF Growth Rate</t>
  </si>
  <si>
    <t>Present Value of FCF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</si>
</sst>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4" formatCode="_(&quot;$&quot;* #,##0.00_);_(&quot;$&quot;* \(#,##0.00\);_(&quot;$&quot;* &quot;-&quot;??_);_(@_)"/>
    <numFmt numFmtId="43" formatCode="_(* #,##0.00_);_(* \(#,##0.00\);_(* &quot;-&quot;??_);_(@_)"/>
    <numFmt numFmtId="164" formatCode="&quot;$&quot;#,##0"/>
    <numFmt numFmtId="165" formatCode="[$-409]d\-mmm\-yy;@"/>
    <numFmt numFmtId="166" formatCode="&quot;$&quot;#,##0;[Red]&quot;$&quot;#,##0"/>
    <numFmt numFmtId="167" formatCode="0.0%"/>
    <numFmt numFmtId="168" formatCode="&quot;$&quot;#,##0.00"/>
    <numFmt numFmtId="169" formatCode="#,##0.0000;[Red]#,##0.0000"/>
    <numFmt numFmtId="170" formatCode="#,##0.0000"/>
    <numFmt numFmtId="171" formatCode="0.00&quot;x&quot;"/>
    <numFmt numFmtId="172" formatCode="0.0"/>
    <numFmt numFmtId="173" formatCode="#,##0.00&quot;x&quot;"/>
    <numFmt numFmtId="174" formatCode="0.0000"/>
    <numFmt numFmtId="175" formatCode="&quot;$&quot;#,##0.0000"/>
    <numFmt numFmtId="176" formatCode="&quot;Return on capital check&quot;"/>
  </numFmts>
  <fonts count="27">
    <font>
      <sz val="11"/>
      <color theme="1"/>
      <name val="Calibri"/>
      <family val="2"/>
      <scheme val="minor"/>
    </font>
    <font>
      <sz val="11"/>
      <color theme="1"/>
      <name val="Calibri"/>
      <family val="2"/>
      <scheme val="minor"/>
    </font>
    <font>
      <sz val="10"/>
      <color rgb="FFFF0000"/>
      <name val="Times New Roman"/>
      <family val="1"/>
    </font>
    <font>
      <sz val="10"/>
      <color theme="0"/>
      <name val="Times New Roman"/>
      <family val="1"/>
    </font>
    <font>
      <sz val="9"/>
      <color indexed="81"/>
      <name val="Tahoma"/>
      <family val="2"/>
    </font>
    <font>
      <b/>
      <sz val="9"/>
      <color indexed="81"/>
      <name val="Tahoma"/>
      <family val="2"/>
    </font>
    <font>
      <sz val="10"/>
      <color theme="1"/>
      <name val="Times New Roman"/>
      <family val="1"/>
    </font>
    <font>
      <b/>
      <sz val="10"/>
      <color theme="0"/>
      <name val="Times New Roman"/>
      <family val="1"/>
    </font>
    <font>
      <sz val="10"/>
      <color rgb="FF0070C0"/>
      <name val="Times New Roman"/>
      <family val="1"/>
    </font>
    <font>
      <b/>
      <sz val="10"/>
      <color theme="1"/>
      <name val="Times New Roman"/>
      <family val="1"/>
    </font>
    <font>
      <sz val="10"/>
      <name val="Arial"/>
      <family val="2"/>
    </font>
    <font>
      <sz val="1"/>
      <color indexed="9"/>
      <name val="Symbol"/>
      <family val="1"/>
      <charset val="2"/>
    </font>
    <font>
      <sz val="12"/>
      <name val="Times"/>
    </font>
    <font>
      <sz val="10"/>
      <name val="Geneva"/>
    </font>
    <font>
      <sz val="10"/>
      <name val="Times New Roman"/>
      <family val="1"/>
    </font>
    <font>
      <sz val="9"/>
      <name val="Geneva"/>
    </font>
    <font>
      <i/>
      <sz val="10"/>
      <name val="Times New Roman"/>
      <family val="1"/>
    </font>
    <font>
      <b/>
      <sz val="9"/>
      <color indexed="81"/>
      <name val="Geneva"/>
    </font>
    <font>
      <sz val="9"/>
      <color indexed="81"/>
      <name val="Geneva"/>
    </font>
    <font>
      <b/>
      <sz val="9"/>
      <color indexed="81"/>
      <name val="Arial"/>
      <family val="2"/>
    </font>
    <font>
      <sz val="9"/>
      <color indexed="81"/>
      <name val="Arial"/>
      <family val="2"/>
    </font>
    <font>
      <b/>
      <sz val="9"/>
      <color indexed="81"/>
      <name val="Verdana"/>
      <family val="2"/>
    </font>
    <font>
      <sz val="9"/>
      <color indexed="81"/>
      <name val="Verdana"/>
      <family val="2"/>
    </font>
    <font>
      <b/>
      <sz val="10"/>
      <name val="Times New Roman"/>
      <family val="1"/>
    </font>
    <font>
      <vertAlign val="subscript"/>
      <sz val="10"/>
      <color theme="1"/>
      <name val="Times New Roman"/>
      <family val="1"/>
    </font>
    <font>
      <sz val="10"/>
      <name val="Verdana"/>
      <family val="2"/>
    </font>
    <font>
      <sz val="9"/>
      <color indexed="81"/>
      <name val="Tahoma"/>
      <charset val="1"/>
    </font>
  </fonts>
  <fills count="7">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12">
    <xf numFmtId="0" fontId="0" fillId="0" borderId="0"/>
    <xf numFmtId="9" fontId="1" fillId="0" borderId="0" applyFont="0" applyFill="0" applyBorder="0" applyAlignment="0" applyProtection="0"/>
    <xf numFmtId="0" fontId="10" fillId="0" borderId="0"/>
    <xf numFmtId="0" fontId="11" fillId="0" borderId="0" applyAlignment="0"/>
    <xf numFmtId="0" fontId="12" fillId="0" borderId="0"/>
    <xf numFmtId="9" fontId="13" fillId="0" borderId="0" applyFont="0" applyFill="0" applyBorder="0" applyAlignment="0" applyProtection="0"/>
    <xf numFmtId="9" fontId="15" fillId="0" borderId="0" applyFont="0" applyFill="0" applyBorder="0" applyAlignment="0" applyProtection="0"/>
    <xf numFmtId="0" fontId="15" fillId="0" borderId="0"/>
    <xf numFmtId="44" fontId="15" fillId="0" borderId="0" applyFont="0" applyFill="0" applyBorder="0" applyAlignment="0" applyProtection="0"/>
    <xf numFmtId="0" fontId="15" fillId="0" borderId="0"/>
    <xf numFmtId="9" fontId="25" fillId="0" borderId="0" applyFont="0" applyFill="0" applyBorder="0" applyAlignment="0" applyProtection="0"/>
    <xf numFmtId="43" fontId="15" fillId="0" borderId="0" applyFont="0" applyFill="0" applyBorder="0" applyAlignment="0" applyProtection="0"/>
  </cellStyleXfs>
  <cellXfs count="154">
    <xf numFmtId="0" fontId="0" fillId="0" borderId="0" xfId="0"/>
    <xf numFmtId="0" fontId="6" fillId="0" borderId="0" xfId="0" applyFont="1" applyAlignment="1">
      <alignment vertical="center"/>
    </xf>
    <xf numFmtId="0" fontId="7" fillId="2" borderId="0" xfId="0" applyFont="1" applyFill="1" applyAlignment="1">
      <alignment horizontal="right" vertical="center"/>
    </xf>
    <xf numFmtId="0" fontId="6" fillId="0" borderId="0" xfId="0" applyFont="1" applyAlignment="1">
      <alignment horizontal="right" vertical="center"/>
    </xf>
    <xf numFmtId="0" fontId="8" fillId="0" borderId="0" xfId="0" applyFont="1" applyBorder="1" applyAlignment="1">
      <alignment horizontal="center" vertical="center" wrapText="1"/>
    </xf>
    <xf numFmtId="10" fontId="6" fillId="3" borderId="0" xfId="1" applyNumberFormat="1" applyFont="1" applyFill="1" applyAlignment="1">
      <alignment vertical="center"/>
    </xf>
    <xf numFmtId="0" fontId="9" fillId="2" borderId="0" xfId="0" applyFont="1" applyFill="1" applyAlignment="1">
      <alignment horizontal="centerContinuous" vertical="center"/>
    </xf>
    <xf numFmtId="10" fontId="6" fillId="0" borderId="0" xfId="1" applyNumberFormat="1" applyFont="1" applyAlignment="1">
      <alignment vertical="center"/>
    </xf>
    <xf numFmtId="0" fontId="9" fillId="3" borderId="0" xfId="0" applyFont="1" applyFill="1" applyAlignment="1">
      <alignment horizontal="right" vertical="center"/>
    </xf>
    <xf numFmtId="164" fontId="3" fillId="2" borderId="0" xfId="0" applyNumberFormat="1" applyFont="1" applyFill="1" applyAlignment="1">
      <alignment vertical="center"/>
    </xf>
    <xf numFmtId="0" fontId="6" fillId="0" borderId="0" xfId="0" applyFont="1" applyFill="1" applyAlignment="1">
      <alignment horizontal="right" vertical="center"/>
    </xf>
    <xf numFmtId="165" fontId="8" fillId="0" borderId="0" xfId="0" applyNumberFormat="1" applyFont="1" applyAlignment="1">
      <alignment horizontal="center" vertical="center"/>
    </xf>
    <xf numFmtId="164" fontId="8" fillId="0" borderId="0" xfId="0" applyNumberFormat="1" applyFont="1" applyFill="1" applyBorder="1" applyAlignment="1">
      <alignment horizontal="right" vertical="center"/>
    </xf>
    <xf numFmtId="164" fontId="6" fillId="0" borderId="0" xfId="0" applyNumberFormat="1" applyFont="1" applyAlignment="1">
      <alignment vertical="center"/>
    </xf>
    <xf numFmtId="166" fontId="8" fillId="0" borderId="0" xfId="0" applyNumberFormat="1" applyFont="1" applyFill="1" applyBorder="1" applyAlignment="1">
      <alignment horizontal="right" vertical="center"/>
    </xf>
    <xf numFmtId="166" fontId="6" fillId="0" borderId="0" xfId="0" applyNumberFormat="1" applyFont="1" applyFill="1" applyBorder="1" applyAlignment="1">
      <alignment horizontal="right" vertical="center"/>
    </xf>
    <xf numFmtId="166" fontId="6" fillId="0" borderId="0" xfId="0" applyNumberFormat="1" applyFont="1" applyAlignment="1">
      <alignment vertical="center"/>
    </xf>
    <xf numFmtId="10" fontId="6" fillId="0" borderId="0" xfId="1" applyNumberFormat="1" applyFont="1" applyFill="1" applyAlignment="1">
      <alignment vertical="center"/>
    </xf>
    <xf numFmtId="0" fontId="2" fillId="0" borderId="0" xfId="0" applyFont="1" applyAlignment="1">
      <alignment horizontal="center" vertical="center"/>
    </xf>
    <xf numFmtId="0" fontId="8" fillId="0" borderId="0" xfId="0" applyFont="1" applyAlignment="1">
      <alignment horizontal="center" vertical="center"/>
    </xf>
    <xf numFmtId="167" fontId="8" fillId="0" borderId="0" xfId="1" applyNumberFormat="1" applyFont="1" applyAlignment="1">
      <alignment vertical="center"/>
    </xf>
    <xf numFmtId="167" fontId="8" fillId="0" borderId="0" xfId="1" applyNumberFormat="1" applyFont="1" applyAlignment="1">
      <alignment horizontal="right" vertical="center"/>
    </xf>
    <xf numFmtId="2" fontId="8" fillId="0" borderId="0" xfId="0" applyNumberFormat="1" applyFont="1" applyAlignment="1">
      <alignment vertical="center"/>
    </xf>
    <xf numFmtId="0" fontId="6" fillId="4" borderId="0" xfId="0" applyFont="1" applyFill="1" applyAlignment="1">
      <alignment horizontal="right" vertical="center"/>
    </xf>
    <xf numFmtId="10" fontId="8" fillId="0" borderId="0" xfId="1" applyNumberFormat="1" applyFont="1" applyFill="1" applyBorder="1" applyAlignment="1">
      <alignment horizontal="right" vertical="center"/>
    </xf>
    <xf numFmtId="10" fontId="6" fillId="0" borderId="0" xfId="1" applyNumberFormat="1" applyFont="1" applyFill="1" applyBorder="1" applyAlignment="1">
      <alignment horizontal="right" vertical="center"/>
    </xf>
    <xf numFmtId="0" fontId="6" fillId="4" borderId="0" xfId="0" applyFont="1" applyFill="1" applyAlignment="1">
      <alignment vertical="center"/>
    </xf>
    <xf numFmtId="0" fontId="6" fillId="3" borderId="0" xfId="0" applyFont="1" applyFill="1" applyAlignment="1">
      <alignment vertical="center"/>
    </xf>
    <xf numFmtId="169" fontId="8" fillId="0" borderId="0" xfId="0" applyNumberFormat="1" applyFont="1" applyFill="1" applyBorder="1" applyAlignment="1">
      <alignment horizontal="right" vertical="center"/>
    </xf>
    <xf numFmtId="170" fontId="6" fillId="0" borderId="0" xfId="0" applyNumberFormat="1" applyFont="1" applyFill="1" applyAlignment="1">
      <alignment vertical="center"/>
    </xf>
    <xf numFmtId="0" fontId="8" fillId="0" borderId="0" xfId="0" applyFont="1" applyFill="1" applyAlignment="1">
      <alignment horizontal="right" vertical="center"/>
    </xf>
    <xf numFmtId="0" fontId="6" fillId="0" borderId="0" xfId="0" applyFont="1" applyFill="1" applyAlignment="1">
      <alignment vertical="center"/>
    </xf>
    <xf numFmtId="166" fontId="6" fillId="0" borderId="0" xfId="0" applyNumberFormat="1" applyFont="1" applyFill="1" applyAlignment="1">
      <alignment vertical="center"/>
    </xf>
    <xf numFmtId="0" fontId="6" fillId="3" borderId="0" xfId="0" applyNumberFormat="1" applyFont="1" applyFill="1" applyBorder="1" applyAlignment="1">
      <alignment horizontal="center" vertical="center"/>
    </xf>
    <xf numFmtId="170" fontId="6" fillId="0" borderId="0" xfId="1" applyNumberFormat="1" applyFont="1" applyFill="1" applyBorder="1" applyAlignment="1">
      <alignment horizontal="right" vertical="center"/>
    </xf>
    <xf numFmtId="168" fontId="14" fillId="0" borderId="0" xfId="2" applyNumberFormat="1" applyFont="1" applyFill="1" applyBorder="1" applyAlignment="1">
      <alignment vertical="center"/>
    </xf>
    <xf numFmtId="10" fontId="6" fillId="0" borderId="0" xfId="6" applyNumberFormat="1" applyFont="1" applyFill="1" applyBorder="1" applyAlignment="1">
      <alignment vertical="center"/>
    </xf>
    <xf numFmtId="1" fontId="14" fillId="0" borderId="0" xfId="2" applyNumberFormat="1" applyFont="1" applyFill="1" applyBorder="1" applyAlignment="1">
      <alignment horizontal="center" vertical="center"/>
    </xf>
    <xf numFmtId="10" fontId="6" fillId="0" borderId="0" xfId="2" applyNumberFormat="1" applyFont="1" applyFill="1" applyBorder="1" applyAlignment="1">
      <alignment vertical="center"/>
    </xf>
    <xf numFmtId="164" fontId="14" fillId="0" borderId="0" xfId="2" applyNumberFormat="1" applyFont="1" applyFill="1" applyBorder="1" applyAlignment="1">
      <alignment vertical="center"/>
    </xf>
    <xf numFmtId="10" fontId="6" fillId="0" borderId="0" xfId="2" applyNumberFormat="1" applyFont="1" applyFill="1" applyBorder="1" applyAlignment="1">
      <alignment horizontal="right" vertical="center"/>
    </xf>
    <xf numFmtId="164" fontId="6" fillId="0" borderId="0" xfId="2" applyNumberFormat="1" applyFont="1" applyFill="1" applyBorder="1" applyAlignment="1">
      <alignment vertical="center"/>
    </xf>
    <xf numFmtId="10" fontId="6" fillId="0" borderId="0" xfId="5" applyNumberFormat="1" applyFont="1" applyFill="1" applyBorder="1" applyAlignment="1">
      <alignment vertical="center"/>
    </xf>
    <xf numFmtId="170" fontId="6" fillId="0" borderId="0" xfId="2" applyNumberFormat="1" applyFont="1" applyFill="1" applyBorder="1" applyAlignment="1">
      <alignment vertical="center"/>
    </xf>
    <xf numFmtId="10" fontId="14" fillId="0" borderId="0" xfId="6" applyNumberFormat="1" applyFont="1" applyFill="1" applyBorder="1" applyAlignment="1">
      <alignment vertical="center"/>
    </xf>
    <xf numFmtId="0" fontId="6" fillId="0" borderId="0" xfId="2" applyFont="1" applyFill="1" applyBorder="1" applyAlignment="1">
      <alignment horizontal="center" vertical="center"/>
    </xf>
    <xf numFmtId="164" fontId="14" fillId="0" borderId="0" xfId="6" applyNumberFormat="1" applyFont="1" applyFill="1" applyBorder="1" applyAlignment="1">
      <alignment vertical="center"/>
    </xf>
    <xf numFmtId="168" fontId="6" fillId="0" borderId="0" xfId="2" applyNumberFormat="1" applyFont="1" applyFill="1" applyBorder="1" applyAlignment="1">
      <alignment vertical="center"/>
    </xf>
    <xf numFmtId="0" fontId="2" fillId="0" borderId="0" xfId="0" applyFont="1" applyFill="1" applyBorder="1" applyAlignment="1">
      <alignment horizontal="center" vertical="center"/>
    </xf>
    <xf numFmtId="3" fontId="6" fillId="0" borderId="0" xfId="2" applyNumberFormat="1" applyFont="1" applyFill="1" applyBorder="1" applyAlignment="1">
      <alignment vertical="center"/>
    </xf>
    <xf numFmtId="0" fontId="6" fillId="0" borderId="0" xfId="0" applyFont="1" applyFill="1" applyBorder="1" applyAlignment="1">
      <alignment vertical="center"/>
    </xf>
    <xf numFmtId="2" fontId="8" fillId="0" borderId="0" xfId="2" applyNumberFormat="1" applyFont="1" applyFill="1" applyBorder="1" applyAlignment="1">
      <alignment horizontal="center" vertical="center"/>
    </xf>
    <xf numFmtId="10" fontId="8" fillId="0" borderId="0" xfId="6" applyNumberFormat="1" applyFont="1" applyFill="1" applyBorder="1" applyAlignment="1">
      <alignment vertical="center"/>
    </xf>
    <xf numFmtId="167" fontId="6" fillId="0" borderId="0" xfId="1" applyNumberFormat="1" applyFont="1" applyFill="1" applyBorder="1" applyAlignment="1">
      <alignment vertical="center"/>
    </xf>
    <xf numFmtId="168" fontId="6" fillId="0" borderId="0" xfId="2" applyNumberFormat="1" applyFont="1" applyFill="1" applyBorder="1" applyAlignment="1">
      <alignment horizontal="right" vertical="center"/>
    </xf>
    <xf numFmtId="168" fontId="8" fillId="0" borderId="0" xfId="2" applyNumberFormat="1" applyFont="1" applyFill="1" applyBorder="1" applyAlignment="1">
      <alignment vertical="center"/>
    </xf>
    <xf numFmtId="10" fontId="6" fillId="0" borderId="0" xfId="0" applyNumberFormat="1" applyFont="1" applyAlignment="1">
      <alignment vertical="center"/>
    </xf>
    <xf numFmtId="173" fontId="14" fillId="0" borderId="0" xfId="2" applyNumberFormat="1" applyFont="1" applyFill="1" applyBorder="1" applyAlignment="1">
      <alignment vertical="center"/>
    </xf>
    <xf numFmtId="0" fontId="23" fillId="0" borderId="0" xfId="0" applyFont="1" applyAlignment="1">
      <alignment vertical="center"/>
    </xf>
    <xf numFmtId="0" fontId="14" fillId="0" borderId="0" xfId="0" applyFont="1" applyAlignment="1">
      <alignment vertical="center"/>
    </xf>
    <xf numFmtId="0" fontId="14" fillId="0" borderId="1" xfId="0" applyFont="1" applyBorder="1" applyAlignment="1">
      <alignment horizontal="center" vertical="center"/>
    </xf>
    <xf numFmtId="0" fontId="16" fillId="0" borderId="1" xfId="0" applyFont="1" applyBorder="1" applyAlignment="1">
      <alignment horizontal="left" vertical="center"/>
    </xf>
    <xf numFmtId="0" fontId="16" fillId="0" borderId="1" xfId="0" applyFont="1" applyBorder="1" applyAlignment="1">
      <alignment horizontal="centerContinuous" vertical="center"/>
    </xf>
    <xf numFmtId="0" fontId="16" fillId="0" borderId="1" xfId="0" applyFont="1" applyBorder="1" applyAlignment="1">
      <alignment vertical="center"/>
    </xf>
    <xf numFmtId="0" fontId="14" fillId="0" borderId="1" xfId="0" applyFont="1" applyBorder="1" applyAlignment="1">
      <alignment horizontal="centerContinuous" vertical="center"/>
    </xf>
    <xf numFmtId="10" fontId="14" fillId="0" borderId="1" xfId="0" applyNumberFormat="1" applyFont="1" applyBorder="1" applyAlignment="1">
      <alignment horizontal="center" vertical="center"/>
    </xf>
    <xf numFmtId="0" fontId="16" fillId="0" borderId="1" xfId="0" applyFont="1" applyBorder="1" applyAlignment="1">
      <alignment horizontal="center" vertical="center"/>
    </xf>
    <xf numFmtId="2" fontId="14" fillId="0" borderId="1" xfId="0" applyNumberFormat="1" applyFont="1" applyBorder="1" applyAlignment="1">
      <alignment horizontal="center" vertical="center"/>
    </xf>
    <xf numFmtId="0" fontId="6" fillId="0" borderId="0" xfId="0" applyFont="1"/>
    <xf numFmtId="0" fontId="14" fillId="0" borderId="3" xfId="0" applyFont="1" applyBorder="1" applyAlignment="1">
      <alignment horizontal="center" vertical="center"/>
    </xf>
    <xf numFmtId="0" fontId="16" fillId="0" borderId="3" xfId="0" applyFont="1" applyBorder="1" applyAlignment="1">
      <alignment vertical="center"/>
    </xf>
    <xf numFmtId="0" fontId="16" fillId="0" borderId="4" xfId="0" applyFont="1" applyBorder="1" applyAlignment="1">
      <alignment horizontal="center" vertical="center"/>
    </xf>
    <xf numFmtId="0" fontId="14" fillId="0" borderId="2" xfId="0" applyFont="1" applyBorder="1" applyAlignment="1">
      <alignment vertical="center"/>
    </xf>
    <xf numFmtId="0" fontId="14" fillId="0" borderId="5" xfId="0" applyFont="1" applyBorder="1" applyAlignment="1">
      <alignment horizontal="center" vertical="center"/>
    </xf>
    <xf numFmtId="10" fontId="14" fillId="0" borderId="5" xfId="0" applyNumberFormat="1" applyFont="1" applyBorder="1" applyAlignment="1">
      <alignment horizontal="center" vertical="center"/>
    </xf>
    <xf numFmtId="10" fontId="14" fillId="0" borderId="5" xfId="0" applyNumberFormat="1" applyFont="1" applyBorder="1" applyAlignment="1">
      <alignment vertical="center"/>
    </xf>
    <xf numFmtId="10" fontId="14" fillId="0" borderId="6" xfId="0" applyNumberFormat="1" applyFont="1" applyBorder="1" applyAlignment="1">
      <alignment horizontal="center" vertical="center"/>
    </xf>
    <xf numFmtId="0" fontId="6" fillId="0" borderId="2" xfId="0" applyFont="1" applyBorder="1" applyAlignment="1">
      <alignment vertical="center"/>
    </xf>
    <xf numFmtId="0" fontId="6" fillId="0" borderId="1" xfId="0" applyFont="1" applyBorder="1" applyAlignment="1">
      <alignment vertical="center"/>
    </xf>
    <xf numFmtId="10" fontId="6" fillId="0" borderId="1" xfId="0" applyNumberFormat="1" applyFont="1" applyBorder="1" applyAlignment="1">
      <alignment horizontal="center" vertical="center"/>
    </xf>
    <xf numFmtId="0" fontId="23" fillId="0" borderId="1" xfId="0" applyFont="1" applyBorder="1" applyAlignment="1">
      <alignment vertical="center"/>
    </xf>
    <xf numFmtId="10" fontId="23" fillId="0" borderId="1" xfId="0" applyNumberFormat="1" applyFont="1" applyBorder="1" applyAlignment="1">
      <alignment horizontal="center" vertical="center"/>
    </xf>
    <xf numFmtId="10" fontId="8" fillId="0" borderId="0" xfId="2" applyNumberFormat="1" applyFont="1" applyFill="1" applyBorder="1" applyAlignment="1">
      <alignment horizontal="right" vertical="center"/>
    </xf>
    <xf numFmtId="0" fontId="2" fillId="0" borderId="0" xfId="0" applyFont="1" applyAlignment="1">
      <alignment horizontal="left" vertical="center"/>
    </xf>
    <xf numFmtId="170" fontId="2" fillId="0" borderId="0" xfId="0" applyNumberFormat="1" applyFont="1" applyFill="1" applyBorder="1" applyAlignment="1">
      <alignment horizontal="right" vertical="center"/>
    </xf>
    <xf numFmtId="171" fontId="14" fillId="0" borderId="0" xfId="2" applyNumberFormat="1" applyFont="1" applyFill="1" applyBorder="1" applyAlignment="1">
      <alignment horizontal="right" vertical="center"/>
    </xf>
    <xf numFmtId="164" fontId="8" fillId="0" borderId="0" xfId="2" applyNumberFormat="1" applyFont="1" applyFill="1" applyBorder="1" applyAlignment="1">
      <alignment vertical="center"/>
    </xf>
    <xf numFmtId="171" fontId="8" fillId="0" borderId="0" xfId="2" applyNumberFormat="1" applyFont="1" applyFill="1" applyBorder="1" applyAlignment="1">
      <alignment vertical="center"/>
    </xf>
    <xf numFmtId="167" fontId="6" fillId="0" borderId="0" xfId="1" applyNumberFormat="1" applyFont="1" applyAlignment="1">
      <alignment vertical="center"/>
    </xf>
    <xf numFmtId="2" fontId="8" fillId="0" borderId="0" xfId="2" applyNumberFormat="1" applyFont="1" applyFill="1" applyBorder="1" applyAlignment="1">
      <alignment horizontal="right" vertical="center"/>
    </xf>
    <xf numFmtId="0" fontId="8" fillId="0" borderId="0" xfId="0" applyFont="1" applyAlignment="1">
      <alignment vertical="center"/>
    </xf>
    <xf numFmtId="168" fontId="8" fillId="0" borderId="0" xfId="2" applyNumberFormat="1" applyFont="1" applyFill="1" applyBorder="1" applyAlignment="1">
      <alignment horizontal="right" vertical="center"/>
    </xf>
    <xf numFmtId="10" fontId="8" fillId="0" borderId="0" xfId="0" applyNumberFormat="1" applyFont="1" applyFill="1" applyBorder="1" applyAlignment="1">
      <alignment horizontal="right" vertical="center"/>
    </xf>
    <xf numFmtId="3" fontId="8" fillId="0" borderId="0" xfId="2" applyNumberFormat="1" applyFont="1" applyFill="1" applyBorder="1" applyAlignment="1">
      <alignment vertical="center"/>
    </xf>
    <xf numFmtId="164" fontId="6" fillId="3" borderId="0" xfId="2" applyNumberFormat="1" applyFont="1" applyFill="1" applyBorder="1" applyAlignment="1">
      <alignment vertical="center"/>
    </xf>
    <xf numFmtId="4" fontId="6" fillId="0" borderId="0" xfId="2" applyNumberFormat="1" applyFont="1" applyFill="1" applyBorder="1" applyAlignment="1">
      <alignment vertical="center"/>
    </xf>
    <xf numFmtId="10" fontId="6" fillId="3" borderId="0" xfId="1" applyNumberFormat="1" applyFont="1" applyFill="1" applyBorder="1" applyAlignment="1">
      <alignment vertical="center"/>
    </xf>
    <xf numFmtId="10" fontId="6" fillId="0" borderId="0" xfId="1" applyNumberFormat="1" applyFont="1" applyFill="1" applyBorder="1" applyAlignment="1">
      <alignment vertical="center"/>
    </xf>
    <xf numFmtId="167" fontId="8" fillId="0" borderId="0" xfId="1" applyNumberFormat="1" applyFont="1" applyFill="1" applyAlignment="1">
      <alignment vertical="center"/>
    </xf>
    <xf numFmtId="174" fontId="6" fillId="0" borderId="0" xfId="1" applyNumberFormat="1" applyFont="1" applyFill="1" applyBorder="1" applyAlignment="1">
      <alignment vertical="center"/>
    </xf>
    <xf numFmtId="10" fontId="2" fillId="0" borderId="0" xfId="1" applyNumberFormat="1" applyFont="1" applyFill="1" applyBorder="1" applyAlignment="1">
      <alignment vertical="center"/>
    </xf>
    <xf numFmtId="174" fontId="6" fillId="3" borderId="0" xfId="1" applyNumberFormat="1" applyFont="1" applyFill="1" applyBorder="1" applyAlignment="1">
      <alignment vertical="center"/>
    </xf>
    <xf numFmtId="0" fontId="14" fillId="0" borderId="0" xfId="2" applyFont="1" applyFill="1" applyBorder="1" applyAlignment="1">
      <alignment horizontal="right" vertical="center"/>
    </xf>
    <xf numFmtId="0" fontId="6" fillId="0" borderId="0" xfId="2" applyFont="1" applyFill="1" applyBorder="1" applyAlignment="1">
      <alignment horizontal="right" vertical="center"/>
    </xf>
    <xf numFmtId="0" fontId="6" fillId="0" borderId="0" xfId="0" applyFont="1" applyFill="1" applyBorder="1" applyAlignment="1">
      <alignment horizontal="right" vertical="center"/>
    </xf>
    <xf numFmtId="0" fontId="6" fillId="0" borderId="0" xfId="0" quotePrefix="1" applyFont="1" applyAlignment="1">
      <alignment horizontal="right" vertical="center"/>
    </xf>
    <xf numFmtId="0" fontId="6" fillId="3" borderId="0" xfId="0" applyFont="1" applyFill="1" applyAlignment="1">
      <alignment horizontal="right" vertical="center"/>
    </xf>
    <xf numFmtId="0" fontId="6" fillId="0" borderId="0" xfId="0" applyFont="1" applyAlignment="1">
      <alignment horizontal="center" vertical="center"/>
    </xf>
    <xf numFmtId="10" fontId="6" fillId="0" borderId="0" xfId="0" applyNumberFormat="1" applyFont="1" applyFill="1" applyBorder="1" applyAlignment="1">
      <alignment horizontal="right" vertical="center"/>
    </xf>
    <xf numFmtId="0" fontId="6" fillId="0" borderId="0" xfId="0" applyFont="1" applyFill="1" applyBorder="1" applyAlignment="1">
      <alignment horizontal="center" vertical="center"/>
    </xf>
    <xf numFmtId="164" fontId="6" fillId="0" borderId="0" xfId="0" applyNumberFormat="1" applyFont="1" applyFill="1" applyBorder="1" applyAlignment="1">
      <alignment horizontal="right" vertical="center"/>
    </xf>
    <xf numFmtId="167" fontId="6" fillId="0" borderId="0" xfId="1" applyNumberFormat="1" applyFont="1" applyAlignment="1">
      <alignment horizontal="right" vertical="center"/>
    </xf>
    <xf numFmtId="10" fontId="6" fillId="0" borderId="0" xfId="6" applyNumberFormat="1" applyFont="1" applyFill="1" applyBorder="1" applyAlignment="1">
      <alignment horizontal="right" vertical="center"/>
    </xf>
    <xf numFmtId="0" fontId="6" fillId="0" borderId="0" xfId="6" applyNumberFormat="1" applyFont="1" applyFill="1" applyBorder="1" applyAlignment="1">
      <alignment horizontal="center" vertical="center"/>
    </xf>
    <xf numFmtId="0" fontId="6" fillId="4" borderId="0" xfId="0" quotePrefix="1" applyFont="1" applyFill="1" applyAlignment="1">
      <alignment vertical="center"/>
    </xf>
    <xf numFmtId="0" fontId="2" fillId="0" borderId="0" xfId="2" applyNumberFormat="1" applyFont="1" applyFill="1" applyBorder="1" applyAlignment="1">
      <alignment horizontal="center" vertical="center"/>
    </xf>
    <xf numFmtId="175" fontId="6" fillId="0" borderId="0" xfId="2" applyNumberFormat="1" applyFont="1" applyFill="1" applyBorder="1" applyAlignment="1">
      <alignment vertical="center"/>
    </xf>
    <xf numFmtId="2" fontId="6" fillId="0" borderId="0" xfId="2" applyNumberFormat="1" applyFont="1" applyFill="1" applyBorder="1" applyAlignment="1">
      <alignment horizontal="right" vertical="center"/>
    </xf>
    <xf numFmtId="172" fontId="6" fillId="0" borderId="0" xfId="2" applyNumberFormat="1" applyFont="1" applyFill="1" applyBorder="1" applyAlignment="1">
      <alignment horizontal="center" vertical="center"/>
    </xf>
    <xf numFmtId="2" fontId="6" fillId="0" borderId="0" xfId="2" applyNumberFormat="1" applyFont="1" applyFill="1" applyBorder="1" applyAlignment="1">
      <alignment horizontal="center" vertical="center"/>
    </xf>
    <xf numFmtId="10" fontId="14" fillId="0" borderId="0" xfId="1" applyNumberFormat="1" applyFont="1" applyFill="1" applyBorder="1" applyAlignment="1">
      <alignment vertical="center"/>
    </xf>
    <xf numFmtId="0" fontId="14" fillId="0" borderId="0" xfId="2" quotePrefix="1" applyFont="1" applyFill="1" applyBorder="1" applyAlignment="1">
      <alignment horizontal="right" vertical="center"/>
    </xf>
    <xf numFmtId="171" fontId="6" fillId="0" borderId="0" xfId="2" applyNumberFormat="1" applyFont="1" applyFill="1" applyBorder="1" applyAlignment="1">
      <alignment vertical="center"/>
    </xf>
    <xf numFmtId="167" fontId="6" fillId="0" borderId="0" xfId="0" applyNumberFormat="1" applyFont="1" applyAlignment="1">
      <alignment vertical="center"/>
    </xf>
    <xf numFmtId="164" fontId="6" fillId="0" borderId="0" xfId="0" applyNumberFormat="1" applyFont="1" applyFill="1" applyBorder="1" applyAlignment="1">
      <alignment vertical="center"/>
    </xf>
    <xf numFmtId="0" fontId="8" fillId="0" borderId="0" xfId="6" applyNumberFormat="1" applyFont="1" applyFill="1" applyBorder="1" applyAlignment="1">
      <alignment horizontal="center" vertical="center"/>
    </xf>
    <xf numFmtId="0" fontId="14" fillId="0" borderId="0" xfId="0" applyFont="1" applyFill="1" applyBorder="1" applyAlignment="1">
      <alignment vertical="center"/>
    </xf>
    <xf numFmtId="0" fontId="2" fillId="0" borderId="0" xfId="0" applyFont="1" applyFill="1" applyBorder="1" applyAlignment="1">
      <alignment vertical="center"/>
    </xf>
    <xf numFmtId="164" fontId="14" fillId="0" borderId="0" xfId="0" applyNumberFormat="1" applyFont="1" applyFill="1" applyBorder="1" applyAlignment="1">
      <alignment vertical="center"/>
    </xf>
    <xf numFmtId="10" fontId="6" fillId="0" borderId="0" xfId="0" applyNumberFormat="1" applyFont="1" applyFill="1" applyBorder="1" applyAlignment="1">
      <alignment vertical="center"/>
    </xf>
    <xf numFmtId="0" fontId="14" fillId="0" borderId="0" xfId="0" applyFont="1" applyFill="1" applyBorder="1" applyAlignment="1">
      <alignment horizontal="right" vertical="center"/>
    </xf>
    <xf numFmtId="0" fontId="2" fillId="5" borderId="0" xfId="0" applyFont="1" applyFill="1" applyBorder="1" applyAlignment="1">
      <alignment vertical="center"/>
    </xf>
    <xf numFmtId="167" fontId="14" fillId="0" borderId="0" xfId="0" applyNumberFormat="1" applyFont="1" applyFill="1" applyBorder="1" applyAlignment="1">
      <alignment vertical="center"/>
    </xf>
    <xf numFmtId="167" fontId="14" fillId="0" borderId="0" xfId="1" applyNumberFormat="1" applyFont="1" applyFill="1" applyBorder="1" applyAlignment="1">
      <alignment vertical="center"/>
    </xf>
    <xf numFmtId="167" fontId="6" fillId="0" borderId="0" xfId="0" applyNumberFormat="1" applyFont="1" applyFill="1" applyBorder="1" applyAlignment="1">
      <alignment vertical="center"/>
    </xf>
    <xf numFmtId="167" fontId="6" fillId="5" borderId="0" xfId="0" applyNumberFormat="1" applyFont="1" applyFill="1" applyBorder="1" applyAlignment="1">
      <alignment vertical="center"/>
    </xf>
    <xf numFmtId="169" fontId="6" fillId="0" borderId="0" xfId="0" applyNumberFormat="1" applyFont="1" applyFill="1" applyBorder="1" applyAlignment="1">
      <alignment horizontal="right" vertical="center"/>
    </xf>
    <xf numFmtId="10" fontId="6" fillId="5" borderId="0" xfId="1" applyNumberFormat="1" applyFont="1" applyFill="1" applyBorder="1" applyAlignment="1">
      <alignment vertical="center"/>
    </xf>
    <xf numFmtId="0" fontId="6" fillId="5" borderId="0" xfId="6" applyNumberFormat="1" applyFont="1" applyFill="1" applyBorder="1" applyAlignment="1">
      <alignment horizontal="center" vertical="center"/>
    </xf>
    <xf numFmtId="10" fontId="6" fillId="5" borderId="0" xfId="6" applyNumberFormat="1" applyFont="1" applyFill="1" applyBorder="1" applyAlignment="1">
      <alignment horizontal="right" vertical="center"/>
    </xf>
    <xf numFmtId="167" fontId="2" fillId="0" borderId="0" xfId="1" applyNumberFormat="1" applyFont="1" applyFill="1" applyAlignment="1">
      <alignment horizontal="right" vertical="center"/>
    </xf>
    <xf numFmtId="0" fontId="6" fillId="0" borderId="0" xfId="0" applyFont="1" applyFill="1" applyAlignment="1">
      <alignment horizontal="center" vertical="center"/>
    </xf>
    <xf numFmtId="176" fontId="14" fillId="0" borderId="0" xfId="0" applyNumberFormat="1" applyFont="1" applyFill="1" applyBorder="1" applyAlignment="1">
      <alignment horizontal="right" vertical="center"/>
    </xf>
    <xf numFmtId="0" fontId="8" fillId="0" borderId="0" xfId="0" applyFont="1" applyFill="1" applyBorder="1" applyAlignment="1">
      <alignment vertical="center"/>
    </xf>
    <xf numFmtId="164" fontId="6" fillId="6" borderId="0" xfId="2" applyNumberFormat="1" applyFont="1" applyFill="1" applyBorder="1" applyAlignment="1">
      <alignment vertical="center"/>
    </xf>
    <xf numFmtId="0" fontId="6" fillId="6" borderId="0" xfId="0" applyFont="1" applyFill="1" applyAlignment="1">
      <alignment vertical="center"/>
    </xf>
    <xf numFmtId="10" fontId="6" fillId="6" borderId="0" xfId="1" applyNumberFormat="1" applyFont="1" applyFill="1" applyBorder="1" applyAlignment="1">
      <alignment vertical="center"/>
    </xf>
    <xf numFmtId="0" fontId="6" fillId="6" borderId="0" xfId="0" applyFont="1" applyFill="1" applyBorder="1" applyAlignment="1">
      <alignment vertical="center"/>
    </xf>
    <xf numFmtId="174" fontId="6" fillId="6" borderId="0" xfId="1" applyNumberFormat="1" applyFont="1" applyFill="1" applyBorder="1" applyAlignment="1">
      <alignment vertical="center"/>
    </xf>
    <xf numFmtId="10" fontId="6" fillId="6" borderId="0" xfId="1" applyNumberFormat="1" applyFont="1" applyFill="1" applyAlignment="1">
      <alignment vertical="center"/>
    </xf>
    <xf numFmtId="4" fontId="6" fillId="6" borderId="0" xfId="2" applyNumberFormat="1" applyFont="1" applyFill="1" applyBorder="1" applyAlignment="1">
      <alignment vertical="center"/>
    </xf>
    <xf numFmtId="0" fontId="8" fillId="0" borderId="0" xfId="2" applyNumberFormat="1" applyFont="1" applyFill="1" applyBorder="1" applyAlignment="1">
      <alignment horizontal="right" vertical="center"/>
    </xf>
    <xf numFmtId="167" fontId="8" fillId="0" borderId="0" xfId="1" applyNumberFormat="1" applyFont="1" applyFill="1" applyBorder="1" applyAlignment="1">
      <alignment horizontal="right" vertical="center"/>
    </xf>
    <xf numFmtId="0" fontId="6" fillId="6" borderId="0" xfId="0" applyFont="1" applyFill="1" applyAlignment="1">
      <alignment horizontal="right" vertical="center"/>
    </xf>
  </cellXfs>
  <cellStyles count="12">
    <cellStyle name="Comma 2" xfId="11"/>
    <cellStyle name="Currency 2" xfId="8"/>
    <cellStyle name="Invisible" xfId="3"/>
    <cellStyle name="Normal" xfId="0" builtinId="0"/>
    <cellStyle name="Normal 2" xfId="2"/>
    <cellStyle name="Normal 2 2" xfId="9"/>
    <cellStyle name="Normal 3" xfId="4"/>
    <cellStyle name="Normal 4" xfId="7"/>
    <cellStyle name="Percent" xfId="1" builtinId="5"/>
    <cellStyle name="Percent 2" xfId="5"/>
    <cellStyle name="Percent 2 2" xfId="6"/>
    <cellStyle name="Percent 2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randinho\Downloads\AppleNov2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
      <sheetName val="Valuation output"/>
      <sheetName val="Option value"/>
      <sheetName val="Diagnostics"/>
      <sheetName val="R&amp; D converter"/>
      <sheetName val="Operating lease converter"/>
      <sheetName val="Cost of capital worksheet"/>
      <sheetName val="Synthetic rating"/>
      <sheetName val="Industry Averages(US)"/>
      <sheetName val="Global industry averages"/>
      <sheetName val="Country tax rates"/>
      <sheetName val="Country equity risk premiums"/>
      <sheetName val="Traiing 12 month"/>
      <sheetName val="Answer keys"/>
    </sheetNames>
    <sheetDataSet>
      <sheetData sheetId="0"/>
      <sheetData sheetId="1">
        <row r="4">
          <cell r="B4">
            <v>0.32029620372667506</v>
          </cell>
        </row>
      </sheetData>
      <sheetData sheetId="2"/>
      <sheetData sheetId="3"/>
      <sheetData sheetId="4"/>
      <sheetData sheetId="5"/>
      <sheetData sheetId="6">
        <row r="48">
          <cell r="E48">
            <v>8.8645396382653632E-2</v>
          </cell>
        </row>
      </sheetData>
      <sheetData sheetId="7"/>
      <sheetData sheetId="8">
        <row r="2">
          <cell r="A2" t="str">
            <v>Advertising</v>
          </cell>
        </row>
      </sheetData>
      <sheetData sheetId="9">
        <row r="2">
          <cell r="A2" t="str">
            <v>Advertising</v>
          </cell>
        </row>
      </sheetData>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P18"/>
  <sheetViews>
    <sheetView workbookViewId="0">
      <selection activeCell="A40" sqref="A40"/>
    </sheetView>
  </sheetViews>
  <sheetFormatPr defaultColWidth="12.73046875" defaultRowHeight="15" customHeight="1"/>
  <cols>
    <col min="1" max="1" width="3.73046875" style="1" customWidth="1"/>
    <col min="2" max="13" width="12.73046875" style="1"/>
    <col min="14" max="16" width="12.73046875" style="68"/>
    <col min="17" max="16384" width="12.73046875" style="1"/>
  </cols>
  <sheetData>
    <row r="1" spans="2:13" ht="15" customHeight="1">
      <c r="E1" s="58" t="s">
        <v>124</v>
      </c>
      <c r="F1" s="59"/>
      <c r="G1" s="59"/>
      <c r="H1" s="59"/>
      <c r="J1" s="58" t="s">
        <v>128</v>
      </c>
      <c r="K1" s="59"/>
      <c r="L1" s="59"/>
      <c r="M1" s="59"/>
    </row>
    <row r="2" spans="2:13" ht="15" customHeight="1">
      <c r="E2" s="61" t="s">
        <v>125</v>
      </c>
      <c r="F2" s="62"/>
      <c r="G2" s="63"/>
      <c r="H2" s="63"/>
      <c r="J2" s="61" t="s">
        <v>125</v>
      </c>
      <c r="K2" s="64"/>
      <c r="L2" s="60"/>
      <c r="M2" s="60"/>
    </row>
    <row r="3" spans="2:13" ht="15" customHeight="1">
      <c r="B3" s="60" t="s">
        <v>108</v>
      </c>
      <c r="C3" s="60" t="s">
        <v>109</v>
      </c>
      <c r="E3" s="66" t="s">
        <v>126</v>
      </c>
      <c r="F3" s="66" t="s">
        <v>127</v>
      </c>
      <c r="G3" s="66" t="s">
        <v>108</v>
      </c>
      <c r="H3" s="66" t="s">
        <v>109</v>
      </c>
      <c r="J3" s="60" t="s">
        <v>129</v>
      </c>
      <c r="K3" s="60" t="s">
        <v>127</v>
      </c>
      <c r="L3" s="60" t="s">
        <v>108</v>
      </c>
      <c r="M3" s="60" t="s">
        <v>109</v>
      </c>
    </row>
    <row r="4" spans="2:13" ht="15" customHeight="1">
      <c r="B4" s="60" t="s">
        <v>110</v>
      </c>
      <c r="C4" s="65">
        <v>8.9999999999999993E-3</v>
      </c>
      <c r="E4" s="60">
        <v>-100000</v>
      </c>
      <c r="F4" s="60">
        <v>0.19999900000000001</v>
      </c>
      <c r="G4" s="60" t="s">
        <v>123</v>
      </c>
      <c r="H4" s="65">
        <v>0.2</v>
      </c>
      <c r="J4" s="60">
        <v>-100000</v>
      </c>
      <c r="K4" s="60">
        <v>0.49999900000000003</v>
      </c>
      <c r="L4" s="60" t="s">
        <v>123</v>
      </c>
      <c r="M4" s="65">
        <v>0.2</v>
      </c>
    </row>
    <row r="5" spans="2:13" ht="15" customHeight="1">
      <c r="B5" s="60" t="s">
        <v>68</v>
      </c>
      <c r="C5" s="65">
        <v>0.01</v>
      </c>
      <c r="E5" s="60">
        <v>0.2</v>
      </c>
      <c r="F5" s="60">
        <v>0.64999899999999999</v>
      </c>
      <c r="G5" s="60" t="s">
        <v>122</v>
      </c>
      <c r="H5" s="65">
        <v>0.16</v>
      </c>
      <c r="J5" s="60">
        <v>0.5</v>
      </c>
      <c r="K5" s="60">
        <v>0.79999900000000002</v>
      </c>
      <c r="L5" s="60" t="s">
        <v>122</v>
      </c>
      <c r="M5" s="65">
        <v>0.16</v>
      </c>
    </row>
    <row r="6" spans="2:13" ht="15" customHeight="1">
      <c r="B6" s="60" t="s">
        <v>111</v>
      </c>
      <c r="C6" s="65">
        <v>1.2E-2</v>
      </c>
      <c r="E6" s="60">
        <v>0.65</v>
      </c>
      <c r="F6" s="60">
        <v>0.79999900000000002</v>
      </c>
      <c r="G6" s="60" t="s">
        <v>121</v>
      </c>
      <c r="H6" s="65">
        <v>0.12</v>
      </c>
      <c r="J6" s="60">
        <v>0.8</v>
      </c>
      <c r="K6" s="60">
        <v>1.2499990000000001</v>
      </c>
      <c r="L6" s="60" t="s">
        <v>121</v>
      </c>
      <c r="M6" s="65">
        <v>0.12</v>
      </c>
    </row>
    <row r="7" spans="2:13" ht="15" customHeight="1">
      <c r="B7" s="60" t="s">
        <v>112</v>
      </c>
      <c r="C7" s="65">
        <v>7.0000000000000001E-3</v>
      </c>
      <c r="E7" s="60">
        <v>0.8</v>
      </c>
      <c r="F7" s="60">
        <v>1.2499990000000001</v>
      </c>
      <c r="G7" s="60" t="s">
        <v>120</v>
      </c>
      <c r="H7" s="65">
        <v>0.09</v>
      </c>
      <c r="J7" s="60">
        <v>1.25</v>
      </c>
      <c r="K7" s="60">
        <v>1.4999990000000001</v>
      </c>
      <c r="L7" s="60" t="s">
        <v>120</v>
      </c>
      <c r="M7" s="65">
        <v>0.09</v>
      </c>
    </row>
    <row r="8" spans="2:13" ht="15" customHeight="1">
      <c r="B8" s="60" t="s">
        <v>113</v>
      </c>
      <c r="C8" s="65">
        <v>4.0000000000000001E-3</v>
      </c>
      <c r="E8" s="60">
        <v>1.25</v>
      </c>
      <c r="F8" s="60">
        <v>1.4999990000000001</v>
      </c>
      <c r="G8" s="60" t="s">
        <v>116</v>
      </c>
      <c r="H8" s="65">
        <v>7.4999999999999997E-2</v>
      </c>
      <c r="J8" s="60">
        <v>1.5</v>
      </c>
      <c r="K8" s="60">
        <v>1.9999990000000001</v>
      </c>
      <c r="L8" s="60" t="s">
        <v>116</v>
      </c>
      <c r="M8" s="65">
        <v>7.4999999999999997E-2</v>
      </c>
    </row>
    <row r="9" spans="2:13" ht="15" customHeight="1">
      <c r="B9" s="60" t="s">
        <v>114</v>
      </c>
      <c r="C9" s="65">
        <v>0.04</v>
      </c>
      <c r="E9" s="60">
        <v>1.5</v>
      </c>
      <c r="F9" s="60">
        <v>1.7499990000000001</v>
      </c>
      <c r="G9" s="60" t="s">
        <v>115</v>
      </c>
      <c r="H9" s="65">
        <v>6.5000000000000002E-2</v>
      </c>
      <c r="J9" s="60">
        <v>2</v>
      </c>
      <c r="K9" s="60">
        <v>2.4999989999999999</v>
      </c>
      <c r="L9" s="60" t="s">
        <v>115</v>
      </c>
      <c r="M9" s="65">
        <v>6.5000000000000002E-2</v>
      </c>
    </row>
    <row r="10" spans="2:13" ht="15" customHeight="1">
      <c r="B10" s="60" t="s">
        <v>115</v>
      </c>
      <c r="C10" s="65">
        <v>0.05</v>
      </c>
      <c r="E10" s="60">
        <v>1.75</v>
      </c>
      <c r="F10" s="60">
        <v>1.9999990000000001</v>
      </c>
      <c r="G10" s="60" t="s">
        <v>114</v>
      </c>
      <c r="H10" s="65">
        <v>5.5E-2</v>
      </c>
      <c r="J10" s="60">
        <v>2.5</v>
      </c>
      <c r="K10" s="60">
        <v>2.9999989999999999</v>
      </c>
      <c r="L10" s="60" t="s">
        <v>114</v>
      </c>
      <c r="M10" s="65">
        <v>5.5E-2</v>
      </c>
    </row>
    <row r="11" spans="2:13" ht="15" customHeight="1">
      <c r="B11" s="60" t="s">
        <v>116</v>
      </c>
      <c r="C11" s="65">
        <v>0.06</v>
      </c>
      <c r="E11" s="60">
        <v>2</v>
      </c>
      <c r="F11" s="60">
        <v>2.2499999000000002</v>
      </c>
      <c r="G11" s="60" t="s">
        <v>118</v>
      </c>
      <c r="H11" s="65">
        <v>4.2500000000000003E-2</v>
      </c>
      <c r="J11" s="60">
        <v>3</v>
      </c>
      <c r="K11" s="60">
        <v>3.4999989999999999</v>
      </c>
      <c r="L11" s="60" t="s">
        <v>118</v>
      </c>
      <c r="M11" s="65">
        <v>4.2500000000000003E-2</v>
      </c>
    </row>
    <row r="12" spans="2:13" ht="15" customHeight="1">
      <c r="B12" s="60" t="s">
        <v>117</v>
      </c>
      <c r="C12" s="65">
        <v>2.75E-2</v>
      </c>
      <c r="E12" s="60">
        <v>2.25</v>
      </c>
      <c r="F12" s="60">
        <v>2.4999899999999999</v>
      </c>
      <c r="G12" s="60" t="s">
        <v>117</v>
      </c>
      <c r="H12" s="65">
        <v>3.2500000000000001E-2</v>
      </c>
      <c r="J12" s="60">
        <v>3.5</v>
      </c>
      <c r="K12" s="60">
        <v>3.9999999000000002</v>
      </c>
      <c r="L12" s="60" t="s">
        <v>117</v>
      </c>
      <c r="M12" s="65">
        <v>3.2500000000000001E-2</v>
      </c>
    </row>
    <row r="13" spans="2:13" ht="15" customHeight="1">
      <c r="B13" s="60" t="s">
        <v>118</v>
      </c>
      <c r="C13" s="65">
        <v>3.2500000000000001E-2</v>
      </c>
      <c r="E13" s="60">
        <v>2.5</v>
      </c>
      <c r="F13" s="60">
        <v>2.9999989999999999</v>
      </c>
      <c r="G13" s="60" t="s">
        <v>119</v>
      </c>
      <c r="H13" s="65">
        <v>2.2499999999999999E-2</v>
      </c>
      <c r="J13" s="60">
        <v>4</v>
      </c>
      <c r="K13" s="60">
        <v>4.4999989999999999</v>
      </c>
      <c r="L13" s="60" t="s">
        <v>119</v>
      </c>
      <c r="M13" s="65">
        <v>2.2499999999999999E-2</v>
      </c>
    </row>
    <row r="14" spans="2:13" ht="15" customHeight="1">
      <c r="B14" s="60" t="s">
        <v>119</v>
      </c>
      <c r="C14" s="65">
        <v>1.7500000000000002E-2</v>
      </c>
      <c r="E14" s="60">
        <v>3</v>
      </c>
      <c r="F14" s="60">
        <v>4.2499989999999999</v>
      </c>
      <c r="G14" s="60" t="s">
        <v>111</v>
      </c>
      <c r="H14" s="65">
        <v>1.7500000000000002E-2</v>
      </c>
      <c r="J14" s="60">
        <v>4.5</v>
      </c>
      <c r="K14" s="60">
        <v>5.9999989999999999</v>
      </c>
      <c r="L14" s="60" t="s">
        <v>111</v>
      </c>
      <c r="M14" s="65">
        <v>1.7500000000000002E-2</v>
      </c>
    </row>
    <row r="15" spans="2:13" ht="15" customHeight="1">
      <c r="B15" s="60" t="s">
        <v>120</v>
      </c>
      <c r="C15" s="65">
        <v>7.0000000000000007E-2</v>
      </c>
      <c r="E15" s="60">
        <v>4.25</v>
      </c>
      <c r="F15" s="60">
        <v>5.4999989999999999</v>
      </c>
      <c r="G15" s="60" t="s">
        <v>68</v>
      </c>
      <c r="H15" s="65">
        <v>1.2500000000000001E-2</v>
      </c>
      <c r="J15" s="60">
        <v>6</v>
      </c>
      <c r="K15" s="60">
        <v>7.4999989999999999</v>
      </c>
      <c r="L15" s="60" t="s">
        <v>68</v>
      </c>
      <c r="M15" s="65">
        <v>1.2500000000000001E-2</v>
      </c>
    </row>
    <row r="16" spans="2:13" ht="15" customHeight="1">
      <c r="B16" s="60" t="s">
        <v>121</v>
      </c>
      <c r="C16" s="65">
        <v>0.08</v>
      </c>
      <c r="E16" s="60">
        <v>5.5</v>
      </c>
      <c r="F16" s="60">
        <v>6.4999989999999999</v>
      </c>
      <c r="G16" s="60" t="s">
        <v>110</v>
      </c>
      <c r="H16" s="65">
        <v>1.0999999999999999E-2</v>
      </c>
      <c r="J16" s="60">
        <v>7.5</v>
      </c>
      <c r="K16" s="60">
        <v>9.4999990000000007</v>
      </c>
      <c r="L16" s="60" t="s">
        <v>110</v>
      </c>
      <c r="M16" s="65">
        <v>1.0999999999999999E-2</v>
      </c>
    </row>
    <row r="17" spans="2:13" ht="15" customHeight="1">
      <c r="B17" s="60" t="s">
        <v>122</v>
      </c>
      <c r="C17" s="65">
        <v>0.1</v>
      </c>
      <c r="E17" s="60">
        <v>6.5</v>
      </c>
      <c r="F17" s="60">
        <v>8.4999990000000007</v>
      </c>
      <c r="G17" s="60" t="s">
        <v>112</v>
      </c>
      <c r="H17" s="65">
        <v>0.01</v>
      </c>
      <c r="J17" s="60">
        <v>9.5</v>
      </c>
      <c r="K17" s="60">
        <v>12.499999000000001</v>
      </c>
      <c r="L17" s="60" t="s">
        <v>112</v>
      </c>
      <c r="M17" s="65">
        <v>0.01</v>
      </c>
    </row>
    <row r="18" spans="2:13" ht="15" customHeight="1">
      <c r="B18" s="60" t="s">
        <v>123</v>
      </c>
      <c r="C18" s="65">
        <v>0.12</v>
      </c>
      <c r="E18" s="67">
        <v>8.5</v>
      </c>
      <c r="F18" s="60">
        <v>100000</v>
      </c>
      <c r="G18" s="60" t="s">
        <v>113</v>
      </c>
      <c r="H18" s="65">
        <v>7.4999999999999997E-3</v>
      </c>
      <c r="J18" s="60">
        <v>12.5</v>
      </c>
      <c r="K18" s="60">
        <v>100000</v>
      </c>
      <c r="L18" s="60" t="s">
        <v>113</v>
      </c>
      <c r="M18" s="65">
        <v>7.4999999999999997E-3</v>
      </c>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158"/>
  <sheetViews>
    <sheetView zoomScaleNormal="100" workbookViewId="0">
      <selection activeCell="A40" sqref="A40"/>
    </sheetView>
  </sheetViews>
  <sheetFormatPr defaultColWidth="9.1328125" defaultRowHeight="15" customHeight="1"/>
  <cols>
    <col min="1" max="16384" width="9.1328125" style="1"/>
  </cols>
  <sheetData>
    <row r="1" spans="1:6" ht="15" customHeight="1">
      <c r="A1" s="63" t="s">
        <v>143</v>
      </c>
      <c r="B1" s="69" t="s">
        <v>144</v>
      </c>
      <c r="C1" s="70" t="s">
        <v>145</v>
      </c>
      <c r="D1" s="70" t="s">
        <v>146</v>
      </c>
      <c r="E1" s="71" t="s">
        <v>147</v>
      </c>
      <c r="F1" s="63" t="s">
        <v>148</v>
      </c>
    </row>
    <row r="2" spans="1:6" ht="15" customHeight="1">
      <c r="A2" s="72" t="s">
        <v>149</v>
      </c>
      <c r="B2" s="73">
        <v>390</v>
      </c>
      <c r="C2" s="74">
        <v>5.0000000000000001E-3</v>
      </c>
      <c r="D2" s="75">
        <v>6.5000000000000002E-2</v>
      </c>
      <c r="E2" s="76">
        <v>7.4999999999999997E-3</v>
      </c>
      <c r="F2" s="77" t="s">
        <v>150</v>
      </c>
    </row>
    <row r="3" spans="1:6" ht="15" customHeight="1">
      <c r="A3" s="72" t="s">
        <v>151</v>
      </c>
      <c r="B3" s="73">
        <v>12.9</v>
      </c>
      <c r="C3" s="74">
        <v>4.4999999999999998E-2</v>
      </c>
      <c r="D3" s="75">
        <v>0.125</v>
      </c>
      <c r="E3" s="76">
        <v>6.7500000000000004E-2</v>
      </c>
      <c r="F3" s="77" t="s">
        <v>152</v>
      </c>
    </row>
    <row r="4" spans="1:6" ht="15" customHeight="1">
      <c r="A4" s="72" t="s">
        <v>153</v>
      </c>
      <c r="B4" s="73">
        <v>4.5</v>
      </c>
      <c r="C4" s="74">
        <v>1.6E-2</v>
      </c>
      <c r="D4" s="75">
        <v>8.1500000000000003E-2</v>
      </c>
      <c r="E4" s="76">
        <v>2.4E-2</v>
      </c>
      <c r="F4" s="77" t="s">
        <v>154</v>
      </c>
    </row>
    <row r="5" spans="1:6" ht="15" customHeight="1">
      <c r="A5" s="72" t="s">
        <v>155</v>
      </c>
      <c r="B5" s="73">
        <v>124.2</v>
      </c>
      <c r="C5" s="74">
        <v>0.03</v>
      </c>
      <c r="D5" s="75">
        <v>0.10249999999999999</v>
      </c>
      <c r="E5" s="76">
        <v>4.4999999999999998E-2</v>
      </c>
      <c r="F5" s="77" t="s">
        <v>156</v>
      </c>
    </row>
    <row r="6" spans="1:6" ht="15" customHeight="1">
      <c r="A6" s="72" t="s">
        <v>157</v>
      </c>
      <c r="B6" s="73">
        <v>609.9</v>
      </c>
      <c r="C6" s="74">
        <v>7.4999999999999997E-2</v>
      </c>
      <c r="D6" s="75">
        <v>0.17</v>
      </c>
      <c r="E6" s="76">
        <v>0.1125</v>
      </c>
      <c r="F6" s="77" t="s">
        <v>158</v>
      </c>
    </row>
    <row r="7" spans="1:6" ht="15" customHeight="1">
      <c r="A7" s="72" t="s">
        <v>159</v>
      </c>
      <c r="B7" s="73">
        <v>10.4</v>
      </c>
      <c r="C7" s="74">
        <v>0.03</v>
      </c>
      <c r="D7" s="75">
        <v>0.10249999999999999</v>
      </c>
      <c r="E7" s="76">
        <v>4.4999999999999998E-2</v>
      </c>
      <c r="F7" s="77" t="s">
        <v>152</v>
      </c>
    </row>
    <row r="8" spans="1:6" ht="15" customHeight="1">
      <c r="A8" s="72" t="s">
        <v>160</v>
      </c>
      <c r="B8" s="73">
        <v>2.6</v>
      </c>
      <c r="C8" s="74">
        <v>6.5000000000000002E-2</v>
      </c>
      <c r="D8" s="75">
        <v>0.155</v>
      </c>
      <c r="E8" s="76">
        <v>9.7500000000000003E-2</v>
      </c>
      <c r="F8" s="77" t="s">
        <v>161</v>
      </c>
    </row>
    <row r="9" spans="1:6" ht="15" customHeight="1">
      <c r="A9" s="72" t="s">
        <v>162</v>
      </c>
      <c r="B9" s="73">
        <v>1560.4</v>
      </c>
      <c r="C9" s="74">
        <v>0</v>
      </c>
      <c r="D9" s="75">
        <v>5.7500000000000002E-2</v>
      </c>
      <c r="E9" s="76">
        <v>0</v>
      </c>
      <c r="F9" s="77" t="s">
        <v>163</v>
      </c>
    </row>
    <row r="10" spans="1:6" ht="15" customHeight="1">
      <c r="A10" s="72" t="s">
        <v>164</v>
      </c>
      <c r="B10" s="73">
        <v>428.3</v>
      </c>
      <c r="C10" s="74">
        <v>0</v>
      </c>
      <c r="D10" s="75">
        <v>5.7500000000000002E-2</v>
      </c>
      <c r="E10" s="76">
        <v>0</v>
      </c>
      <c r="F10" s="77" t="s">
        <v>154</v>
      </c>
    </row>
    <row r="11" spans="1:6" ht="15" customHeight="1">
      <c r="A11" s="72" t="s">
        <v>165</v>
      </c>
      <c r="B11" s="73">
        <v>73.400000000000006</v>
      </c>
      <c r="C11" s="74">
        <v>2.1999999999999999E-2</v>
      </c>
      <c r="D11" s="75">
        <v>9.0499999999999997E-2</v>
      </c>
      <c r="E11" s="76">
        <v>3.3000000000000002E-2</v>
      </c>
      <c r="F11" s="77" t="s">
        <v>152</v>
      </c>
    </row>
    <row r="12" spans="1:6" ht="15" customHeight="1">
      <c r="A12" s="72" t="s">
        <v>166</v>
      </c>
      <c r="B12" s="73">
        <v>8.4</v>
      </c>
      <c r="C12" s="74">
        <v>1.9E-2</v>
      </c>
      <c r="D12" s="75">
        <v>8.5999999999999993E-2</v>
      </c>
      <c r="E12" s="76">
        <v>2.8500000000000001E-2</v>
      </c>
      <c r="F12" s="77" t="s">
        <v>161</v>
      </c>
    </row>
    <row r="13" spans="1:6" ht="15" customHeight="1">
      <c r="A13" s="72" t="s">
        <v>167</v>
      </c>
      <c r="B13" s="73">
        <v>32.9</v>
      </c>
      <c r="C13" s="74">
        <v>1.9E-2</v>
      </c>
      <c r="D13" s="75">
        <v>8.5999999999999993E-2</v>
      </c>
      <c r="E13" s="76">
        <v>2.8500000000000001E-2</v>
      </c>
      <c r="F13" s="77" t="s">
        <v>150</v>
      </c>
    </row>
    <row r="14" spans="1:6" ht="15" customHeight="1">
      <c r="A14" s="72" t="s">
        <v>168</v>
      </c>
      <c r="B14" s="73">
        <v>150</v>
      </c>
      <c r="C14" s="74">
        <v>3.5999999999999997E-2</v>
      </c>
      <c r="D14" s="75">
        <v>0.1115</v>
      </c>
      <c r="E14" s="76">
        <v>5.3999999999999999E-2</v>
      </c>
      <c r="F14" s="77" t="s">
        <v>169</v>
      </c>
    </row>
    <row r="15" spans="1:6" ht="15" customHeight="1">
      <c r="A15" s="72" t="s">
        <v>170</v>
      </c>
      <c r="B15" s="73">
        <v>3.7</v>
      </c>
      <c r="C15" s="74">
        <v>6.5000000000000002E-2</v>
      </c>
      <c r="D15" s="75">
        <v>0.155</v>
      </c>
      <c r="E15" s="76">
        <v>9.7500000000000003E-2</v>
      </c>
      <c r="F15" s="77" t="s">
        <v>161</v>
      </c>
    </row>
    <row r="16" spans="1:6" ht="15" customHeight="1">
      <c r="A16" s="72" t="s">
        <v>171</v>
      </c>
      <c r="B16" s="73">
        <v>71.7</v>
      </c>
      <c r="C16" s="74">
        <v>6.5000000000000002E-2</v>
      </c>
      <c r="D16" s="75">
        <v>0.155</v>
      </c>
      <c r="E16" s="76">
        <v>9.7500000000000003E-2</v>
      </c>
      <c r="F16" s="77" t="s">
        <v>152</v>
      </c>
    </row>
    <row r="17" spans="1:6" ht="15" customHeight="1">
      <c r="A17" s="72" t="s">
        <v>172</v>
      </c>
      <c r="B17" s="73">
        <v>524.79999999999995</v>
      </c>
      <c r="C17" s="74">
        <v>6.0000000000000001E-3</v>
      </c>
      <c r="D17" s="75">
        <v>6.6500000000000004E-2</v>
      </c>
      <c r="E17" s="76">
        <v>8.9999999999999993E-3</v>
      </c>
      <c r="F17" s="77" t="s">
        <v>154</v>
      </c>
    </row>
    <row r="18" spans="1:6" ht="15" customHeight="1">
      <c r="A18" s="72" t="s">
        <v>173</v>
      </c>
      <c r="B18" s="73">
        <v>1.6</v>
      </c>
      <c r="C18" s="74">
        <v>0.09</v>
      </c>
      <c r="D18" s="75">
        <v>0.1925</v>
      </c>
      <c r="E18" s="76">
        <v>0.13500000000000001</v>
      </c>
      <c r="F18" s="77" t="s">
        <v>158</v>
      </c>
    </row>
    <row r="19" spans="1:6" ht="15" customHeight="1">
      <c r="A19" s="72" t="s">
        <v>174</v>
      </c>
      <c r="B19" s="73">
        <v>5.5570000000000004</v>
      </c>
      <c r="C19" s="74">
        <v>7.0000000000000001E-3</v>
      </c>
      <c r="D19" s="75">
        <v>6.8000000000000005E-2</v>
      </c>
      <c r="E19" s="76">
        <v>1.0500000000000001E-2</v>
      </c>
      <c r="F19" s="77" t="s">
        <v>161</v>
      </c>
    </row>
    <row r="20" spans="1:6" ht="15" customHeight="1">
      <c r="A20" s="72" t="s">
        <v>175</v>
      </c>
      <c r="B20" s="73">
        <v>30.6</v>
      </c>
      <c r="C20" s="74">
        <v>3.5999999999999997E-2</v>
      </c>
      <c r="D20" s="75">
        <v>0.1115</v>
      </c>
      <c r="E20" s="76">
        <v>5.3999999999999999E-2</v>
      </c>
      <c r="F20" s="77" t="s">
        <v>158</v>
      </c>
    </row>
    <row r="21" spans="1:6" ht="15" customHeight="1">
      <c r="A21" s="72" t="s">
        <v>176</v>
      </c>
      <c r="B21" s="73">
        <v>17.899999999999999</v>
      </c>
      <c r="C21" s="74">
        <v>6.5000000000000002E-2</v>
      </c>
      <c r="D21" s="75">
        <v>0.155</v>
      </c>
      <c r="E21" s="76">
        <v>9.7500000000000003E-2</v>
      </c>
      <c r="F21" s="77" t="s">
        <v>152</v>
      </c>
    </row>
    <row r="22" spans="1:6" ht="15" customHeight="1">
      <c r="A22" s="72" t="s">
        <v>177</v>
      </c>
      <c r="B22" s="73">
        <v>14.8</v>
      </c>
      <c r="C22" s="74">
        <v>8.5000000000000006E-3</v>
      </c>
      <c r="D22" s="75">
        <v>7.0300000000000001E-2</v>
      </c>
      <c r="E22" s="76">
        <v>1.2800000000000001E-2</v>
      </c>
      <c r="F22" s="77" t="s">
        <v>156</v>
      </c>
    </row>
    <row r="23" spans="1:6" ht="15" customHeight="1">
      <c r="A23" s="72" t="s">
        <v>178</v>
      </c>
      <c r="B23" s="73">
        <v>2245.6999999999998</v>
      </c>
      <c r="C23" s="74">
        <v>1.9E-2</v>
      </c>
      <c r="D23" s="75">
        <v>8.5999999999999993E-2</v>
      </c>
      <c r="E23" s="76">
        <v>2.8500000000000001E-2</v>
      </c>
      <c r="F23" s="77" t="s">
        <v>158</v>
      </c>
    </row>
    <row r="24" spans="1:6" ht="15" customHeight="1">
      <c r="A24" s="72" t="s">
        <v>179</v>
      </c>
      <c r="B24" s="73">
        <v>54.5</v>
      </c>
      <c r="C24" s="74">
        <v>1.9E-2</v>
      </c>
      <c r="D24" s="75">
        <v>8.5999999999999993E-2</v>
      </c>
      <c r="E24" s="76">
        <v>2.8500000000000001E-2</v>
      </c>
      <c r="F24" s="77" t="s">
        <v>152</v>
      </c>
    </row>
    <row r="25" spans="1:6" ht="15" customHeight="1">
      <c r="A25" s="72" t="s">
        <v>180</v>
      </c>
      <c r="B25" s="73">
        <v>11.6</v>
      </c>
      <c r="C25" s="74">
        <v>6.5000000000000002E-2</v>
      </c>
      <c r="D25" s="75">
        <v>0.155</v>
      </c>
      <c r="E25" s="76">
        <v>9.7500000000000003E-2</v>
      </c>
      <c r="F25" s="77" t="s">
        <v>156</v>
      </c>
    </row>
    <row r="26" spans="1:6" ht="15" customHeight="1">
      <c r="A26" s="72" t="s">
        <v>181</v>
      </c>
      <c r="B26" s="73">
        <v>15.2</v>
      </c>
      <c r="C26" s="74">
        <v>5.5E-2</v>
      </c>
      <c r="D26" s="75">
        <v>0.14000000000000001</v>
      </c>
      <c r="E26" s="76">
        <v>8.2500000000000004E-2</v>
      </c>
      <c r="F26" s="77" t="s">
        <v>169</v>
      </c>
    </row>
    <row r="27" spans="1:6" ht="15" customHeight="1">
      <c r="A27" s="72" t="s">
        <v>182</v>
      </c>
      <c r="B27" s="73">
        <v>29.6</v>
      </c>
      <c r="C27" s="74">
        <v>5.5E-2</v>
      </c>
      <c r="D27" s="75">
        <v>0.14000000000000001</v>
      </c>
      <c r="E27" s="76">
        <v>8.2500000000000004E-2</v>
      </c>
      <c r="F27" s="77" t="s">
        <v>156</v>
      </c>
    </row>
    <row r="28" spans="1:6" ht="15" customHeight="1">
      <c r="A28" s="72" t="s">
        <v>183</v>
      </c>
      <c r="B28" s="73">
        <v>1826.8</v>
      </c>
      <c r="C28" s="74">
        <v>0</v>
      </c>
      <c r="D28" s="75">
        <v>5.7500000000000002E-2</v>
      </c>
      <c r="E28" s="76">
        <v>0</v>
      </c>
      <c r="F28" s="77" t="s">
        <v>184</v>
      </c>
    </row>
    <row r="29" spans="1:6" ht="15" customHeight="1">
      <c r="A29" s="72" t="s">
        <v>185</v>
      </c>
      <c r="B29" s="73">
        <v>1.897</v>
      </c>
      <c r="C29" s="74">
        <v>6.0000000000000001E-3</v>
      </c>
      <c r="D29" s="75">
        <v>6.6500000000000004E-2</v>
      </c>
      <c r="E29" s="76">
        <v>8.9999999999999993E-3</v>
      </c>
      <c r="F29" s="77" t="s">
        <v>161</v>
      </c>
    </row>
    <row r="30" spans="1:6" ht="15" customHeight="1">
      <c r="A30" s="72" t="s">
        <v>186</v>
      </c>
      <c r="B30" s="73">
        <v>4</v>
      </c>
      <c r="C30" s="74">
        <v>5.5E-2</v>
      </c>
      <c r="D30" s="75">
        <v>0.14000000000000001</v>
      </c>
      <c r="E30" s="76">
        <v>8.2500000000000004E-2</v>
      </c>
      <c r="F30" s="77" t="s">
        <v>156</v>
      </c>
    </row>
    <row r="31" spans="1:6" ht="15" customHeight="1">
      <c r="A31" s="72" t="s">
        <v>187</v>
      </c>
      <c r="B31" s="73">
        <v>277.2</v>
      </c>
      <c r="C31" s="74">
        <v>6.0000000000000001E-3</v>
      </c>
      <c r="D31" s="75">
        <v>6.6500000000000004E-2</v>
      </c>
      <c r="E31" s="76">
        <v>8.9999999999999993E-3</v>
      </c>
      <c r="F31" s="77" t="s">
        <v>158</v>
      </c>
    </row>
    <row r="32" spans="1:6" ht="15" customHeight="1">
      <c r="A32" s="72" t="s">
        <v>188</v>
      </c>
      <c r="B32" s="73">
        <v>9240.2999999999993</v>
      </c>
      <c r="C32" s="74">
        <v>6.0000000000000001E-3</v>
      </c>
      <c r="D32" s="75">
        <v>6.6500000000000004E-2</v>
      </c>
      <c r="E32" s="76">
        <v>8.9999999999999993E-3</v>
      </c>
      <c r="F32" s="77" t="s">
        <v>169</v>
      </c>
    </row>
    <row r="33" spans="1:6" ht="15" customHeight="1">
      <c r="A33" s="72" t="s">
        <v>189</v>
      </c>
      <c r="B33" s="73">
        <v>378.4</v>
      </c>
      <c r="C33" s="74">
        <v>1.9E-2</v>
      </c>
      <c r="D33" s="75">
        <v>8.5999999999999993E-2</v>
      </c>
      <c r="E33" s="76">
        <v>2.8500000000000001E-2</v>
      </c>
      <c r="F33" s="77" t="s">
        <v>158</v>
      </c>
    </row>
    <row r="34" spans="1:6" ht="15" customHeight="1">
      <c r="A34" s="72" t="s">
        <v>190</v>
      </c>
      <c r="B34" s="73">
        <v>32.700000000000003</v>
      </c>
      <c r="C34" s="74">
        <v>6.5000000000000002E-2</v>
      </c>
      <c r="D34" s="75">
        <v>0.155</v>
      </c>
      <c r="E34" s="76">
        <v>9.7500000000000003E-2</v>
      </c>
      <c r="F34" s="77" t="s">
        <v>156</v>
      </c>
    </row>
    <row r="35" spans="1:6" ht="15" customHeight="1">
      <c r="A35" s="72" t="s">
        <v>191</v>
      </c>
      <c r="B35" s="73">
        <v>14.1</v>
      </c>
      <c r="C35" s="74">
        <v>3.5999999999999997E-2</v>
      </c>
      <c r="D35" s="75">
        <v>0.1115</v>
      </c>
      <c r="E35" s="76">
        <v>5.3999999999999999E-2</v>
      </c>
      <c r="F35" s="77" t="s">
        <v>156</v>
      </c>
    </row>
    <row r="36" spans="1:6" ht="15" customHeight="1">
      <c r="A36" s="72" t="s">
        <v>192</v>
      </c>
      <c r="B36" s="73">
        <v>1.2</v>
      </c>
      <c r="C36" s="74">
        <v>4.4999999999999998E-2</v>
      </c>
      <c r="D36" s="75">
        <v>0.125</v>
      </c>
      <c r="E36" s="76">
        <v>6.7500000000000004E-2</v>
      </c>
      <c r="F36" s="77" t="s">
        <v>163</v>
      </c>
    </row>
    <row r="37" spans="1:6" ht="15" customHeight="1">
      <c r="A37" s="72" t="s">
        <v>193</v>
      </c>
      <c r="B37" s="73">
        <v>49.6</v>
      </c>
      <c r="C37" s="74">
        <v>2.5000000000000001E-2</v>
      </c>
      <c r="D37" s="75">
        <v>9.5000000000000001E-2</v>
      </c>
      <c r="E37" s="76">
        <v>3.7499999999999999E-2</v>
      </c>
      <c r="F37" s="77" t="s">
        <v>158</v>
      </c>
    </row>
    <row r="38" spans="1:6" ht="15" customHeight="1">
      <c r="A38" s="72" t="s">
        <v>194</v>
      </c>
      <c r="B38" s="73">
        <v>31.1</v>
      </c>
      <c r="C38" s="74">
        <v>4.4999999999999998E-2</v>
      </c>
      <c r="D38" s="75">
        <v>0.125</v>
      </c>
      <c r="E38" s="76">
        <v>6.7500000000000004E-2</v>
      </c>
      <c r="F38" s="77" t="s">
        <v>156</v>
      </c>
    </row>
    <row r="39" spans="1:6" ht="15" customHeight="1">
      <c r="A39" s="72" t="s">
        <v>195</v>
      </c>
      <c r="B39" s="73">
        <v>57.9</v>
      </c>
      <c r="C39" s="74">
        <v>2.5000000000000001E-2</v>
      </c>
      <c r="D39" s="75">
        <v>9.5000000000000001E-2</v>
      </c>
      <c r="E39" s="76">
        <v>3.7499999999999999E-2</v>
      </c>
      <c r="F39" s="77" t="s">
        <v>152</v>
      </c>
    </row>
    <row r="40" spans="1:6" ht="15" customHeight="1">
      <c r="A40" s="72" t="s">
        <v>196</v>
      </c>
      <c r="B40" s="73">
        <v>60.8</v>
      </c>
      <c r="C40" s="74">
        <v>0.09</v>
      </c>
      <c r="D40" s="75">
        <v>0.1925</v>
      </c>
      <c r="E40" s="76">
        <v>0.13500000000000001</v>
      </c>
      <c r="F40" s="77" t="s">
        <v>161</v>
      </c>
    </row>
    <row r="41" spans="1:6" ht="15" customHeight="1">
      <c r="A41" s="72" t="s">
        <v>197</v>
      </c>
      <c r="B41" s="73">
        <v>1</v>
      </c>
      <c r="C41" s="74">
        <v>1.2E-2</v>
      </c>
      <c r="D41" s="75">
        <v>7.5499999999999998E-2</v>
      </c>
      <c r="E41" s="76">
        <v>1.7999999999999999E-2</v>
      </c>
      <c r="F41" s="77" t="s">
        <v>161</v>
      </c>
    </row>
    <row r="42" spans="1:6" ht="15" customHeight="1">
      <c r="A42" s="72" t="s">
        <v>198</v>
      </c>
      <c r="B42" s="73">
        <v>21.9</v>
      </c>
      <c r="C42" s="74">
        <v>6.5000000000000002E-2</v>
      </c>
      <c r="D42" s="75">
        <v>0.155</v>
      </c>
      <c r="E42" s="76">
        <v>9.7500000000000003E-2</v>
      </c>
      <c r="F42" s="77" t="s">
        <v>154</v>
      </c>
    </row>
    <row r="43" spans="1:6" ht="15" customHeight="1">
      <c r="A43" s="72" t="s">
        <v>199</v>
      </c>
      <c r="B43" s="73">
        <v>208.9</v>
      </c>
      <c r="C43" s="74">
        <v>7.0000000000000001E-3</v>
      </c>
      <c r="D43" s="75">
        <v>6.8000000000000005E-2</v>
      </c>
      <c r="E43" s="76">
        <v>1.0500000000000001E-2</v>
      </c>
      <c r="F43" s="77" t="s">
        <v>152</v>
      </c>
    </row>
    <row r="44" spans="1:6" ht="15" customHeight="1">
      <c r="A44" s="72" t="s">
        <v>200</v>
      </c>
      <c r="B44" s="73">
        <v>335.9</v>
      </c>
      <c r="C44" s="74">
        <v>0</v>
      </c>
      <c r="D44" s="75">
        <v>5.7500000000000002E-2</v>
      </c>
      <c r="E44" s="76">
        <v>0</v>
      </c>
      <c r="F44" s="77" t="s">
        <v>154</v>
      </c>
    </row>
    <row r="45" spans="1:6" ht="15" customHeight="1">
      <c r="A45" s="72" t="s">
        <v>201</v>
      </c>
      <c r="B45" s="73">
        <v>61.2</v>
      </c>
      <c r="C45" s="74">
        <v>4.4999999999999998E-2</v>
      </c>
      <c r="D45" s="75">
        <v>0.125</v>
      </c>
      <c r="E45" s="76">
        <v>6.7500000000000004E-2</v>
      </c>
      <c r="F45" s="77" t="s">
        <v>161</v>
      </c>
    </row>
    <row r="46" spans="1:6" ht="15" customHeight="1">
      <c r="A46" s="72" t="s">
        <v>202</v>
      </c>
      <c r="B46" s="73">
        <v>94.5</v>
      </c>
      <c r="C46" s="74">
        <v>6.5000000000000002E-2</v>
      </c>
      <c r="D46" s="75">
        <v>0.155</v>
      </c>
      <c r="E46" s="76">
        <v>9.7500000000000003E-2</v>
      </c>
      <c r="F46" s="77" t="s">
        <v>158</v>
      </c>
    </row>
    <row r="47" spans="1:6" ht="15" customHeight="1">
      <c r="A47" s="72" t="s">
        <v>203</v>
      </c>
      <c r="B47" s="73">
        <v>272</v>
      </c>
      <c r="C47" s="74">
        <v>7.4999999999999997E-2</v>
      </c>
      <c r="D47" s="75">
        <v>0.17</v>
      </c>
      <c r="E47" s="76">
        <v>0.1125</v>
      </c>
      <c r="F47" s="77" t="s">
        <v>156</v>
      </c>
    </row>
    <row r="48" spans="1:6" ht="15" customHeight="1">
      <c r="A48" s="72" t="s">
        <v>204</v>
      </c>
      <c r="B48" s="73">
        <v>24.3</v>
      </c>
      <c r="C48" s="74">
        <v>3.5999999999999997E-2</v>
      </c>
      <c r="D48" s="75">
        <v>0.1115</v>
      </c>
      <c r="E48" s="76">
        <v>5.3999999999999999E-2</v>
      </c>
      <c r="F48" s="77" t="s">
        <v>158</v>
      </c>
    </row>
    <row r="49" spans="1:6" ht="15" customHeight="1">
      <c r="A49" s="72" t="s">
        <v>205</v>
      </c>
      <c r="B49" s="73">
        <v>24.9</v>
      </c>
      <c r="C49" s="74">
        <v>7.0000000000000001E-3</v>
      </c>
      <c r="D49" s="75">
        <v>6.8000000000000005E-2</v>
      </c>
      <c r="E49" s="76">
        <v>1.0500000000000001E-2</v>
      </c>
      <c r="F49" s="77" t="s">
        <v>152</v>
      </c>
    </row>
    <row r="50" spans="1:6" ht="15" customHeight="1">
      <c r="A50" s="72" t="s">
        <v>206</v>
      </c>
      <c r="B50" s="73">
        <v>47.5</v>
      </c>
      <c r="C50" s="74">
        <v>4.4999999999999998E-2</v>
      </c>
      <c r="D50" s="75">
        <v>0.125</v>
      </c>
      <c r="E50" s="76">
        <v>6.7500000000000004E-2</v>
      </c>
      <c r="F50" s="77" t="s">
        <v>156</v>
      </c>
    </row>
    <row r="51" spans="1:6" ht="15" customHeight="1">
      <c r="A51" s="72" t="s">
        <v>207</v>
      </c>
      <c r="B51" s="73">
        <v>3.9</v>
      </c>
      <c r="C51" s="74">
        <v>4.4999999999999998E-2</v>
      </c>
      <c r="D51" s="75">
        <v>0.125</v>
      </c>
      <c r="E51" s="76">
        <v>6.7500000000000004E-2</v>
      </c>
      <c r="F51" s="77" t="s">
        <v>169</v>
      </c>
    </row>
    <row r="52" spans="1:6" ht="15" customHeight="1">
      <c r="A52" s="72" t="s">
        <v>208</v>
      </c>
      <c r="B52" s="73">
        <v>267.3</v>
      </c>
      <c r="C52" s="74">
        <v>0</v>
      </c>
      <c r="D52" s="75">
        <v>5.7500000000000002E-2</v>
      </c>
      <c r="E52" s="76">
        <v>0</v>
      </c>
      <c r="F52" s="77" t="s">
        <v>154</v>
      </c>
    </row>
    <row r="53" spans="1:6" ht="15" customHeight="1">
      <c r="A53" s="72" t="s">
        <v>209</v>
      </c>
      <c r="B53" s="73">
        <v>2806.4</v>
      </c>
      <c r="C53" s="74">
        <v>4.0000000000000001E-3</v>
      </c>
      <c r="D53" s="75">
        <v>6.3500000000000001E-2</v>
      </c>
      <c r="E53" s="76">
        <v>6.0000000000000001E-3</v>
      </c>
      <c r="F53" s="77" t="s">
        <v>154</v>
      </c>
    </row>
    <row r="54" spans="1:6" ht="15" customHeight="1">
      <c r="A54" s="72" t="s">
        <v>210</v>
      </c>
      <c r="B54" s="73">
        <v>19.3</v>
      </c>
      <c r="C54" s="74">
        <v>3.5999999999999997E-2</v>
      </c>
      <c r="D54" s="75">
        <v>0.1115</v>
      </c>
      <c r="E54" s="76">
        <v>5.3999999999999999E-2</v>
      </c>
      <c r="F54" s="77" t="s">
        <v>156</v>
      </c>
    </row>
    <row r="55" spans="1:6" ht="15" customHeight="1">
      <c r="A55" s="72" t="s">
        <v>211</v>
      </c>
      <c r="B55" s="73">
        <v>16.100000000000001</v>
      </c>
      <c r="C55" s="74">
        <v>3.5999999999999997E-2</v>
      </c>
      <c r="D55" s="75">
        <v>0.1115</v>
      </c>
      <c r="E55" s="76">
        <v>5.3999999999999999E-2</v>
      </c>
      <c r="F55" s="77" t="s">
        <v>152</v>
      </c>
    </row>
    <row r="56" spans="1:6" ht="15" customHeight="1">
      <c r="A56" s="72" t="s">
        <v>212</v>
      </c>
      <c r="B56" s="73">
        <v>3730.3</v>
      </c>
      <c r="C56" s="74">
        <v>0</v>
      </c>
      <c r="D56" s="75">
        <v>5.7500000000000002E-2</v>
      </c>
      <c r="E56" s="76">
        <v>0</v>
      </c>
      <c r="F56" s="77" t="s">
        <v>154</v>
      </c>
    </row>
    <row r="57" spans="1:6" ht="15" customHeight="1">
      <c r="A57" s="72" t="s">
        <v>213</v>
      </c>
      <c r="B57" s="73">
        <v>48.1</v>
      </c>
      <c r="C57" s="74">
        <v>5.5E-2</v>
      </c>
      <c r="D57" s="75">
        <v>0.14000000000000001</v>
      </c>
      <c r="E57" s="76">
        <v>8.2500000000000004E-2</v>
      </c>
      <c r="F57" s="77" t="s">
        <v>156</v>
      </c>
    </row>
    <row r="58" spans="1:6" ht="15" customHeight="1">
      <c r="A58" s="72" t="s">
        <v>214</v>
      </c>
      <c r="B58" s="73">
        <v>242.2</v>
      </c>
      <c r="C58" s="74">
        <v>7.4999999999999997E-2</v>
      </c>
      <c r="D58" s="75">
        <v>0.17</v>
      </c>
      <c r="E58" s="76">
        <v>0.1125</v>
      </c>
      <c r="F58" s="77" t="s">
        <v>154</v>
      </c>
    </row>
    <row r="59" spans="1:6" ht="15" customHeight="1">
      <c r="A59" s="72" t="s">
        <v>215</v>
      </c>
      <c r="B59" s="73">
        <v>53.8</v>
      </c>
      <c r="C59" s="74">
        <v>2.5000000000000001E-2</v>
      </c>
      <c r="D59" s="75">
        <v>9.5000000000000001E-2</v>
      </c>
      <c r="E59" s="76">
        <v>3.7499999999999999E-2</v>
      </c>
      <c r="F59" s="77" t="s">
        <v>158</v>
      </c>
    </row>
    <row r="60" spans="1:6" ht="15" customHeight="1">
      <c r="A60" s="72" t="s">
        <v>216</v>
      </c>
      <c r="B60" s="73">
        <v>0.5</v>
      </c>
      <c r="C60" s="74">
        <v>4.0000000000000001E-3</v>
      </c>
      <c r="D60" s="75">
        <v>6.3500000000000001E-2</v>
      </c>
      <c r="E60" s="76">
        <v>6.0000000000000001E-3</v>
      </c>
      <c r="F60" s="77" t="s">
        <v>154</v>
      </c>
    </row>
    <row r="61" spans="1:6" ht="15" customHeight="1">
      <c r="A61" s="72" t="s">
        <v>217</v>
      </c>
      <c r="B61" s="73">
        <v>18.600000000000001</v>
      </c>
      <c r="C61" s="74">
        <v>6.5000000000000002E-2</v>
      </c>
      <c r="D61" s="75">
        <v>0.155</v>
      </c>
      <c r="E61" s="76">
        <v>9.7500000000000003E-2</v>
      </c>
      <c r="F61" s="77" t="s">
        <v>158</v>
      </c>
    </row>
    <row r="62" spans="1:6" ht="15" customHeight="1">
      <c r="A62" s="72" t="s">
        <v>218</v>
      </c>
      <c r="B62" s="73">
        <v>274</v>
      </c>
      <c r="C62" s="74">
        <v>4.0000000000000001E-3</v>
      </c>
      <c r="D62" s="75">
        <v>6.3500000000000001E-2</v>
      </c>
      <c r="E62" s="76">
        <v>6.0000000000000001E-3</v>
      </c>
      <c r="F62" s="77" t="s">
        <v>169</v>
      </c>
    </row>
    <row r="63" spans="1:6" ht="15" customHeight="1">
      <c r="A63" s="72" t="s">
        <v>219</v>
      </c>
      <c r="B63" s="73">
        <v>133.4</v>
      </c>
      <c r="C63" s="74">
        <v>2.5000000000000001E-2</v>
      </c>
      <c r="D63" s="75">
        <v>9.5000000000000001E-2</v>
      </c>
      <c r="E63" s="76">
        <v>3.7499999999999999E-2</v>
      </c>
      <c r="F63" s="77" t="s">
        <v>152</v>
      </c>
    </row>
    <row r="64" spans="1:6" ht="15" customHeight="1">
      <c r="A64" s="72" t="s">
        <v>220</v>
      </c>
      <c r="B64" s="73">
        <v>15.3</v>
      </c>
      <c r="C64" s="74">
        <v>2.1999999999999999E-2</v>
      </c>
      <c r="D64" s="75">
        <v>9.0499999999999997E-2</v>
      </c>
      <c r="E64" s="76">
        <v>3.3000000000000002E-2</v>
      </c>
      <c r="F64" s="77" t="s">
        <v>154</v>
      </c>
    </row>
    <row r="65" spans="1:6" ht="15" customHeight="1">
      <c r="A65" s="72" t="s">
        <v>221</v>
      </c>
      <c r="B65" s="73">
        <v>1876.8</v>
      </c>
      <c r="C65" s="74">
        <v>2.1999999999999999E-2</v>
      </c>
      <c r="D65" s="75">
        <v>9.0499999999999997E-2</v>
      </c>
      <c r="E65" s="76">
        <v>3.3000000000000002E-2</v>
      </c>
      <c r="F65" s="77" t="s">
        <v>169</v>
      </c>
    </row>
    <row r="66" spans="1:6" ht="15" customHeight="1">
      <c r="A66" s="72" t="s">
        <v>222</v>
      </c>
      <c r="B66" s="73">
        <v>868.4</v>
      </c>
      <c r="C66" s="74">
        <v>2.1999999999999999E-2</v>
      </c>
      <c r="D66" s="75">
        <v>9.0499999999999997E-2</v>
      </c>
      <c r="E66" s="76">
        <v>3.3000000000000002E-2</v>
      </c>
      <c r="F66" s="77" t="s">
        <v>169</v>
      </c>
    </row>
    <row r="67" spans="1:6" ht="15" customHeight="1">
      <c r="A67" s="72" t="s">
        <v>223</v>
      </c>
      <c r="B67" s="73">
        <v>232.1</v>
      </c>
      <c r="C67" s="74">
        <v>1.6E-2</v>
      </c>
      <c r="D67" s="75">
        <v>8.1500000000000003E-2</v>
      </c>
      <c r="E67" s="76">
        <v>2.4E-2</v>
      </c>
      <c r="F67" s="77" t="s">
        <v>154</v>
      </c>
    </row>
    <row r="68" spans="1:6" ht="15" customHeight="1">
      <c r="A68" s="72" t="s">
        <v>224</v>
      </c>
      <c r="B68" s="73">
        <v>1.4</v>
      </c>
      <c r="C68" s="74">
        <v>4.0000000000000001E-3</v>
      </c>
      <c r="D68" s="75">
        <v>6.3500000000000001E-2</v>
      </c>
      <c r="E68" s="76">
        <v>6.0000000000000001E-3</v>
      </c>
      <c r="F68" s="77" t="s">
        <v>154</v>
      </c>
    </row>
    <row r="69" spans="1:6" ht="15" customHeight="1">
      <c r="A69" s="72" t="s">
        <v>225</v>
      </c>
      <c r="B69" s="73">
        <v>290.60000000000002</v>
      </c>
      <c r="C69" s="74">
        <v>7.0000000000000001E-3</v>
      </c>
      <c r="D69" s="75">
        <v>6.8000000000000005E-2</v>
      </c>
      <c r="E69" s="76">
        <v>1.0500000000000001E-2</v>
      </c>
      <c r="F69" s="77" t="s">
        <v>150</v>
      </c>
    </row>
    <row r="70" spans="1:6" ht="15" customHeight="1">
      <c r="A70" s="72" t="s">
        <v>226</v>
      </c>
      <c r="B70" s="73">
        <v>2149.5</v>
      </c>
      <c r="C70" s="74">
        <v>1.9E-2</v>
      </c>
      <c r="D70" s="75">
        <v>8.5999999999999993E-2</v>
      </c>
      <c r="E70" s="76">
        <v>2.8500000000000001E-2</v>
      </c>
      <c r="F70" s="77" t="s">
        <v>154</v>
      </c>
    </row>
    <row r="71" spans="1:6" ht="15" customHeight="1">
      <c r="A71" s="72" t="s">
        <v>227</v>
      </c>
      <c r="B71" s="73">
        <v>14.4</v>
      </c>
      <c r="C71" s="74">
        <v>0.1</v>
      </c>
      <c r="D71" s="75">
        <v>0.20749999999999999</v>
      </c>
      <c r="E71" s="76">
        <v>0.15</v>
      </c>
      <c r="F71" s="77" t="s">
        <v>161</v>
      </c>
    </row>
    <row r="72" spans="1:6" ht="15" customHeight="1">
      <c r="A72" s="72" t="s">
        <v>228</v>
      </c>
      <c r="B72" s="73">
        <v>4919.6000000000004</v>
      </c>
      <c r="C72" s="74">
        <v>7.0000000000000001E-3</v>
      </c>
      <c r="D72" s="75">
        <v>6.8000000000000005E-2</v>
      </c>
      <c r="E72" s="76">
        <v>1.0500000000000001E-2</v>
      </c>
      <c r="F72" s="77" t="s">
        <v>169</v>
      </c>
    </row>
    <row r="73" spans="1:6" ht="15" customHeight="1">
      <c r="A73" s="72" t="s">
        <v>229</v>
      </c>
      <c r="B73" s="73">
        <v>1</v>
      </c>
      <c r="C73" s="74">
        <v>4.0000000000000001E-3</v>
      </c>
      <c r="D73" s="75">
        <v>6.3500000000000001E-2</v>
      </c>
      <c r="E73" s="76">
        <v>6.0000000000000001E-3</v>
      </c>
      <c r="F73" s="77" t="s">
        <v>154</v>
      </c>
    </row>
    <row r="74" spans="1:6" ht="15" customHeight="1">
      <c r="A74" s="72" t="s">
        <v>230</v>
      </c>
      <c r="B74" s="73">
        <v>33.700000000000003</v>
      </c>
      <c r="C74" s="74">
        <v>4.4999999999999998E-2</v>
      </c>
      <c r="D74" s="75">
        <v>0.125</v>
      </c>
      <c r="E74" s="76">
        <v>6.7500000000000004E-2</v>
      </c>
      <c r="F74" s="77" t="s">
        <v>150</v>
      </c>
    </row>
    <row r="75" spans="1:6" ht="15" customHeight="1">
      <c r="A75" s="72" t="s">
        <v>231</v>
      </c>
      <c r="B75" s="73">
        <v>321.89999999999998</v>
      </c>
      <c r="C75" s="74">
        <v>1.9E-2</v>
      </c>
      <c r="D75" s="75">
        <v>8.5999999999999993E-2</v>
      </c>
      <c r="E75" s="76">
        <v>2.8500000000000001E-2</v>
      </c>
      <c r="F75" s="77" t="s">
        <v>152</v>
      </c>
    </row>
    <row r="76" spans="1:6" ht="15" customHeight="1">
      <c r="A76" s="72" t="s">
        <v>232</v>
      </c>
      <c r="B76" s="73">
        <v>55.2</v>
      </c>
      <c r="C76" s="74">
        <v>4.4999999999999998E-2</v>
      </c>
      <c r="D76" s="75">
        <v>0.125</v>
      </c>
      <c r="E76" s="76">
        <v>6.7500000000000004E-2</v>
      </c>
      <c r="F76" s="77" t="s">
        <v>156</v>
      </c>
    </row>
    <row r="77" spans="1:6" ht="15" customHeight="1">
      <c r="A77" s="72" t="s">
        <v>233</v>
      </c>
      <c r="B77" s="73">
        <v>1304.5999999999999</v>
      </c>
      <c r="C77" s="74">
        <v>6.0000000000000001E-3</v>
      </c>
      <c r="D77" s="75">
        <v>6.6500000000000004E-2</v>
      </c>
      <c r="E77" s="76">
        <v>8.9999999999999993E-3</v>
      </c>
      <c r="F77" s="77" t="s">
        <v>169</v>
      </c>
    </row>
    <row r="78" spans="1:6" ht="15" customHeight="1">
      <c r="A78" s="72" t="s">
        <v>234</v>
      </c>
      <c r="B78" s="73">
        <v>175.8</v>
      </c>
      <c r="C78" s="74">
        <v>5.0000000000000001E-3</v>
      </c>
      <c r="D78" s="75">
        <v>6.5000000000000002E-2</v>
      </c>
      <c r="E78" s="76">
        <v>7.4999999999999997E-3</v>
      </c>
      <c r="F78" s="77" t="s">
        <v>150</v>
      </c>
    </row>
    <row r="79" spans="1:6" ht="15" customHeight="1">
      <c r="A79" s="72" t="s">
        <v>235</v>
      </c>
      <c r="B79" s="73">
        <v>31</v>
      </c>
      <c r="C79" s="74">
        <v>1.6E-2</v>
      </c>
      <c r="D79" s="75">
        <v>8.1500000000000003E-2</v>
      </c>
      <c r="E79" s="76">
        <v>2.4E-2</v>
      </c>
      <c r="F79" s="77" t="s">
        <v>152</v>
      </c>
    </row>
    <row r="80" spans="1:6" ht="15" customHeight="1">
      <c r="A80" s="72" t="s">
        <v>236</v>
      </c>
      <c r="B80" s="73">
        <v>44.4</v>
      </c>
      <c r="C80" s="74">
        <v>5.5E-2</v>
      </c>
      <c r="D80" s="75">
        <v>0.14000000000000001</v>
      </c>
      <c r="E80" s="76">
        <v>8.2500000000000004E-2</v>
      </c>
      <c r="F80" s="77" t="s">
        <v>150</v>
      </c>
    </row>
    <row r="81" spans="1:6" ht="15" customHeight="1">
      <c r="A81" s="72" t="s">
        <v>237</v>
      </c>
      <c r="B81" s="73">
        <v>10.5</v>
      </c>
      <c r="C81" s="74">
        <v>0</v>
      </c>
      <c r="D81" s="75">
        <v>5.7500000000000002E-2</v>
      </c>
      <c r="E81" s="76">
        <v>0</v>
      </c>
      <c r="F81" s="77" t="s">
        <v>154</v>
      </c>
    </row>
    <row r="82" spans="1:6" ht="15" customHeight="1">
      <c r="A82" s="72" t="s">
        <v>238</v>
      </c>
      <c r="B82" s="73">
        <v>45.9</v>
      </c>
      <c r="C82" s="74">
        <v>1.6E-2</v>
      </c>
      <c r="D82" s="75">
        <v>8.1500000000000003E-2</v>
      </c>
      <c r="E82" s="76">
        <v>2.4E-2</v>
      </c>
      <c r="F82" s="77" t="s">
        <v>152</v>
      </c>
    </row>
    <row r="83" spans="1:6" ht="15" customHeight="1">
      <c r="A83" s="72" t="s">
        <v>239</v>
      </c>
      <c r="B83" s="73">
        <v>60.1</v>
      </c>
      <c r="C83" s="74">
        <v>0</v>
      </c>
      <c r="D83" s="75">
        <v>5.7500000000000002E-2</v>
      </c>
      <c r="E83" s="76">
        <v>0</v>
      </c>
      <c r="F83" s="77" t="s">
        <v>154</v>
      </c>
    </row>
    <row r="84" spans="1:6" ht="15" customHeight="1">
      <c r="A84" s="72" t="s">
        <v>240</v>
      </c>
      <c r="B84" s="73">
        <v>51.8</v>
      </c>
      <c r="C84" s="74">
        <v>5.0000000000000001E-3</v>
      </c>
      <c r="D84" s="75">
        <v>6.5000000000000002E-2</v>
      </c>
      <c r="E84" s="76">
        <v>7.4999999999999997E-3</v>
      </c>
      <c r="F84" s="77" t="s">
        <v>169</v>
      </c>
    </row>
    <row r="85" spans="1:6" ht="15" customHeight="1">
      <c r="A85" s="72" t="s">
        <v>241</v>
      </c>
      <c r="B85" s="73">
        <v>10.199999999999999</v>
      </c>
      <c r="C85" s="74">
        <v>3.5999999999999997E-2</v>
      </c>
      <c r="D85" s="75">
        <v>0.1115</v>
      </c>
      <c r="E85" s="76">
        <v>5.3999999999999999E-2</v>
      </c>
      <c r="F85" s="77" t="s">
        <v>152</v>
      </c>
    </row>
    <row r="86" spans="1:6" ht="15" customHeight="1">
      <c r="A86" s="72" t="s">
        <v>242</v>
      </c>
      <c r="B86" s="73">
        <v>313.2</v>
      </c>
      <c r="C86" s="74">
        <v>1.2E-2</v>
      </c>
      <c r="D86" s="75">
        <v>7.5499999999999998E-2</v>
      </c>
      <c r="E86" s="76">
        <v>1.7999999999999999E-2</v>
      </c>
      <c r="F86" s="77" t="s">
        <v>169</v>
      </c>
    </row>
    <row r="87" spans="1:6" ht="15" customHeight="1">
      <c r="A87" s="72" t="s">
        <v>243</v>
      </c>
      <c r="B87" s="73">
        <v>9.6</v>
      </c>
      <c r="C87" s="74">
        <v>1.2E-2</v>
      </c>
      <c r="D87" s="75">
        <v>7.5499999999999998E-2</v>
      </c>
      <c r="E87" s="76">
        <v>1.7999999999999999E-2</v>
      </c>
      <c r="F87" s="77" t="s">
        <v>154</v>
      </c>
    </row>
    <row r="88" spans="1:6" ht="15" customHeight="1">
      <c r="A88" s="72" t="s">
        <v>244</v>
      </c>
      <c r="B88" s="73">
        <v>11.9</v>
      </c>
      <c r="C88" s="74">
        <v>1.6E-2</v>
      </c>
      <c r="D88" s="75">
        <v>8.1500000000000003E-2</v>
      </c>
      <c r="E88" s="76">
        <v>2.4E-2</v>
      </c>
      <c r="F88" s="77" t="s">
        <v>169</v>
      </c>
    </row>
    <row r="89" spans="1:6" ht="15" customHeight="1">
      <c r="A89" s="72" t="s">
        <v>245</v>
      </c>
      <c r="B89" s="73">
        <v>1260.9000000000001</v>
      </c>
      <c r="C89" s="74">
        <v>1.2E-2</v>
      </c>
      <c r="D89" s="75">
        <v>7.5499999999999998E-2</v>
      </c>
      <c r="E89" s="76">
        <v>1.7999999999999999E-2</v>
      </c>
      <c r="F89" s="77" t="s">
        <v>158</v>
      </c>
    </row>
    <row r="90" spans="1:6" ht="15" customHeight="1">
      <c r="A90" s="72" t="s">
        <v>246</v>
      </c>
      <c r="B90" s="73">
        <v>8</v>
      </c>
      <c r="C90" s="74">
        <v>6.5000000000000002E-2</v>
      </c>
      <c r="D90" s="75">
        <v>0.155</v>
      </c>
      <c r="E90" s="76">
        <v>9.7500000000000003E-2</v>
      </c>
      <c r="F90" s="77" t="s">
        <v>152</v>
      </c>
    </row>
    <row r="91" spans="1:6" ht="15" customHeight="1">
      <c r="A91" s="72" t="s">
        <v>247</v>
      </c>
      <c r="B91" s="73">
        <v>11.5</v>
      </c>
      <c r="C91" s="74">
        <v>5.5E-2</v>
      </c>
      <c r="D91" s="75">
        <v>0.14000000000000001</v>
      </c>
      <c r="E91" s="76">
        <v>8.2500000000000004E-2</v>
      </c>
      <c r="F91" s="77" t="s">
        <v>169</v>
      </c>
    </row>
    <row r="92" spans="1:6" ht="15" customHeight="1">
      <c r="A92" s="72" t="s">
        <v>248</v>
      </c>
      <c r="B92" s="73">
        <v>4.4000000000000004</v>
      </c>
      <c r="C92" s="74">
        <v>3.5999999999999997E-2</v>
      </c>
      <c r="D92" s="75">
        <v>0.1115</v>
      </c>
      <c r="E92" s="76">
        <v>5.3999999999999999E-2</v>
      </c>
      <c r="F92" s="77" t="s">
        <v>152</v>
      </c>
    </row>
    <row r="93" spans="1:6" ht="15" customHeight="1">
      <c r="A93" s="72" t="s">
        <v>249</v>
      </c>
      <c r="B93" s="73">
        <v>1.5</v>
      </c>
      <c r="C93" s="74">
        <v>2.1999999999999999E-2</v>
      </c>
      <c r="D93" s="75">
        <v>9.0499999999999997E-2</v>
      </c>
      <c r="E93" s="76">
        <v>3.3000000000000002E-2</v>
      </c>
      <c r="F93" s="77" t="s">
        <v>161</v>
      </c>
    </row>
    <row r="94" spans="1:6" ht="15" customHeight="1">
      <c r="A94" s="72" t="s">
        <v>250</v>
      </c>
      <c r="B94" s="73">
        <v>103.8</v>
      </c>
      <c r="C94" s="74">
        <v>2.5000000000000001E-2</v>
      </c>
      <c r="D94" s="75">
        <v>9.5000000000000001E-2</v>
      </c>
      <c r="E94" s="76">
        <v>3.7499999999999999E-2</v>
      </c>
      <c r="F94" s="77" t="s">
        <v>156</v>
      </c>
    </row>
    <row r="95" spans="1:6" ht="15" customHeight="1">
      <c r="A95" s="72" t="s">
        <v>251</v>
      </c>
      <c r="B95" s="73">
        <v>15.6</v>
      </c>
      <c r="C95" s="74">
        <v>4.4999999999999998E-2</v>
      </c>
      <c r="D95" s="75">
        <v>0.125</v>
      </c>
      <c r="E95" s="76">
        <v>6.7500000000000004E-2</v>
      </c>
      <c r="F95" s="77" t="s">
        <v>156</v>
      </c>
    </row>
    <row r="96" spans="1:6" ht="15" customHeight="1">
      <c r="A96" s="72" t="s">
        <v>252</v>
      </c>
      <c r="B96" s="73">
        <v>13.1</v>
      </c>
      <c r="C96" s="74">
        <v>2.1999999999999999E-2</v>
      </c>
      <c r="D96" s="75">
        <v>9.0499999999999997E-2</v>
      </c>
      <c r="E96" s="76">
        <v>3.3000000000000002E-2</v>
      </c>
      <c r="F96" s="77" t="s">
        <v>156</v>
      </c>
    </row>
    <row r="97" spans="1:6" ht="15" customHeight="1">
      <c r="A97" s="72" t="s">
        <v>253</v>
      </c>
      <c r="B97" s="73">
        <v>853.54</v>
      </c>
      <c r="C97" s="74">
        <v>0</v>
      </c>
      <c r="D97" s="75">
        <v>5.7500000000000002E-2</v>
      </c>
      <c r="E97" s="76">
        <v>0</v>
      </c>
      <c r="F97" s="77" t="s">
        <v>154</v>
      </c>
    </row>
    <row r="98" spans="1:6" ht="15" customHeight="1">
      <c r="A98" s="72" t="s">
        <v>254</v>
      </c>
      <c r="B98" s="73">
        <v>185.8</v>
      </c>
      <c r="C98" s="74">
        <v>0</v>
      </c>
      <c r="D98" s="75">
        <v>5.7500000000000002E-2</v>
      </c>
      <c r="E98" s="76">
        <v>0</v>
      </c>
      <c r="F98" s="77" t="s">
        <v>163</v>
      </c>
    </row>
    <row r="99" spans="1:6" ht="15" customHeight="1">
      <c r="A99" s="72" t="s">
        <v>255</v>
      </c>
      <c r="B99" s="73">
        <v>11.3</v>
      </c>
      <c r="C99" s="74">
        <v>6.5000000000000002E-2</v>
      </c>
      <c r="D99" s="75">
        <v>0.155</v>
      </c>
      <c r="E99" s="76">
        <v>9.7500000000000003E-2</v>
      </c>
      <c r="F99" s="77" t="s">
        <v>158</v>
      </c>
    </row>
    <row r="100" spans="1:6" ht="15" customHeight="1">
      <c r="A100" s="72" t="s">
        <v>256</v>
      </c>
      <c r="B100" s="73">
        <v>521.79999999999995</v>
      </c>
      <c r="C100" s="74">
        <v>3.5999999999999997E-2</v>
      </c>
      <c r="D100" s="75">
        <v>0.1115</v>
      </c>
      <c r="E100" s="76">
        <v>5.3999999999999999E-2</v>
      </c>
      <c r="F100" s="77" t="s">
        <v>156</v>
      </c>
    </row>
    <row r="101" spans="1:6" ht="15" customHeight="1">
      <c r="A101" s="72" t="s">
        <v>257</v>
      </c>
      <c r="B101" s="73">
        <v>512.6</v>
      </c>
      <c r="C101" s="74">
        <v>0</v>
      </c>
      <c r="D101" s="75">
        <v>5.7500000000000002E-2</v>
      </c>
      <c r="E101" s="76">
        <v>0</v>
      </c>
      <c r="F101" s="77" t="s">
        <v>154</v>
      </c>
    </row>
    <row r="102" spans="1:6" ht="15" customHeight="1">
      <c r="A102" s="72" t="s">
        <v>258</v>
      </c>
      <c r="B102" s="73">
        <v>80</v>
      </c>
      <c r="C102" s="74">
        <v>7.0000000000000001E-3</v>
      </c>
      <c r="D102" s="75">
        <v>6.8000000000000005E-2</v>
      </c>
      <c r="E102" s="76">
        <v>1.0500000000000001E-2</v>
      </c>
      <c r="F102" s="77" t="s">
        <v>150</v>
      </c>
    </row>
    <row r="103" spans="1:6" ht="15" customHeight="1">
      <c r="A103" s="72" t="s">
        <v>259</v>
      </c>
      <c r="B103" s="73">
        <v>232.3</v>
      </c>
      <c r="C103" s="74">
        <v>7.4999999999999997E-2</v>
      </c>
      <c r="D103" s="75">
        <v>0.17</v>
      </c>
      <c r="E103" s="76">
        <v>0.1125</v>
      </c>
      <c r="F103" s="77" t="s">
        <v>169</v>
      </c>
    </row>
    <row r="104" spans="1:6" ht="15" customHeight="1">
      <c r="A104" s="72" t="s">
        <v>260</v>
      </c>
      <c r="B104" s="73">
        <v>42.7</v>
      </c>
      <c r="C104" s="74">
        <v>1.9E-2</v>
      </c>
      <c r="D104" s="75">
        <v>8.5999999999999993E-2</v>
      </c>
      <c r="E104" s="76">
        <v>2.8500000000000001E-2</v>
      </c>
      <c r="F104" s="77" t="s">
        <v>158</v>
      </c>
    </row>
    <row r="105" spans="1:6" ht="15" customHeight="1">
      <c r="A105" s="72" t="s">
        <v>261</v>
      </c>
      <c r="B105" s="73">
        <v>15.3</v>
      </c>
      <c r="C105" s="74">
        <v>4.4999999999999998E-2</v>
      </c>
      <c r="D105" s="75">
        <v>0.125</v>
      </c>
      <c r="E105" s="76">
        <v>6.7500000000000004E-2</v>
      </c>
      <c r="F105" s="77" t="s">
        <v>169</v>
      </c>
    </row>
    <row r="106" spans="1:6" ht="15" customHeight="1">
      <c r="A106" s="72" t="s">
        <v>262</v>
      </c>
      <c r="B106" s="73">
        <v>29</v>
      </c>
      <c r="C106" s="74">
        <v>0.03</v>
      </c>
      <c r="D106" s="75">
        <v>0.10249999999999999</v>
      </c>
      <c r="E106" s="76">
        <v>4.4999999999999998E-2</v>
      </c>
      <c r="F106" s="77" t="s">
        <v>158</v>
      </c>
    </row>
    <row r="107" spans="1:6" ht="15" customHeight="1">
      <c r="A107" s="72" t="s">
        <v>263</v>
      </c>
      <c r="B107" s="73">
        <v>202.4</v>
      </c>
      <c r="C107" s="74">
        <v>1.2E-2</v>
      </c>
      <c r="D107" s="75">
        <v>7.5499999999999998E-2</v>
      </c>
      <c r="E107" s="76">
        <v>1.7999999999999999E-2</v>
      </c>
      <c r="F107" s="77" t="s">
        <v>158</v>
      </c>
    </row>
    <row r="108" spans="1:6" ht="15" customHeight="1">
      <c r="A108" s="72" t="s">
        <v>264</v>
      </c>
      <c r="B108" s="73">
        <v>272.10000000000002</v>
      </c>
      <c r="C108" s="74">
        <v>1.9E-2</v>
      </c>
      <c r="D108" s="75">
        <v>8.5999999999999993E-2</v>
      </c>
      <c r="E108" s="76">
        <v>2.8500000000000001E-2</v>
      </c>
      <c r="F108" s="77" t="s">
        <v>169</v>
      </c>
    </row>
    <row r="109" spans="1:6" ht="15" customHeight="1">
      <c r="A109" s="72" t="s">
        <v>265</v>
      </c>
      <c r="B109" s="73">
        <v>525.9</v>
      </c>
      <c r="C109" s="74">
        <v>8.5000000000000006E-3</v>
      </c>
      <c r="D109" s="75">
        <v>7.0300000000000001E-2</v>
      </c>
      <c r="E109" s="76">
        <v>1.2800000000000001E-2</v>
      </c>
      <c r="F109" s="77" t="s">
        <v>152</v>
      </c>
    </row>
    <row r="110" spans="1:6" ht="15" customHeight="1">
      <c r="A110" s="72" t="s">
        <v>266</v>
      </c>
      <c r="B110" s="73">
        <v>227.3</v>
      </c>
      <c r="C110" s="74">
        <v>2.5000000000000001E-2</v>
      </c>
      <c r="D110" s="75">
        <v>9.5000000000000001E-2</v>
      </c>
      <c r="E110" s="76">
        <v>3.7499999999999999E-2</v>
      </c>
      <c r="F110" s="77" t="s">
        <v>154</v>
      </c>
    </row>
    <row r="111" spans="1:6" ht="15" customHeight="1">
      <c r="A111" s="72" t="s">
        <v>267</v>
      </c>
      <c r="B111" s="73">
        <v>203.2</v>
      </c>
      <c r="C111" s="74">
        <v>5.0000000000000001E-3</v>
      </c>
      <c r="D111" s="75">
        <v>6.5000000000000002E-2</v>
      </c>
      <c r="E111" s="76">
        <v>7.4999999999999997E-3</v>
      </c>
      <c r="F111" s="77" t="s">
        <v>150</v>
      </c>
    </row>
    <row r="112" spans="1:6" ht="15" customHeight="1">
      <c r="A112" s="72" t="s">
        <v>268</v>
      </c>
      <c r="B112" s="73">
        <v>5.2</v>
      </c>
      <c r="C112" s="74">
        <v>8.5000000000000006E-3</v>
      </c>
      <c r="D112" s="75">
        <v>7.0300000000000001E-2</v>
      </c>
      <c r="E112" s="76">
        <v>1.2800000000000001E-2</v>
      </c>
      <c r="F112" s="77" t="s">
        <v>150</v>
      </c>
    </row>
    <row r="113" spans="1:6" ht="15" customHeight="1">
      <c r="A113" s="72" t="s">
        <v>269</v>
      </c>
      <c r="B113" s="73">
        <v>189.6</v>
      </c>
      <c r="C113" s="74">
        <v>2.1999999999999999E-2</v>
      </c>
      <c r="D113" s="75">
        <v>9.0499999999999997E-2</v>
      </c>
      <c r="E113" s="76">
        <v>3.3000000000000002E-2</v>
      </c>
      <c r="F113" s="77" t="s">
        <v>152</v>
      </c>
    </row>
    <row r="114" spans="1:6" ht="15" customHeight="1">
      <c r="A114" s="72" t="s">
        <v>270</v>
      </c>
      <c r="B114" s="73">
        <v>2096.8000000000002</v>
      </c>
      <c r="C114" s="74">
        <v>1.9E-2</v>
      </c>
      <c r="D114" s="75">
        <v>8.5999999999999993E-2</v>
      </c>
      <c r="E114" s="76">
        <v>2.8500000000000001E-2</v>
      </c>
      <c r="F114" s="77" t="s">
        <v>152</v>
      </c>
    </row>
    <row r="115" spans="1:6" ht="15" customHeight="1">
      <c r="A115" s="72" t="s">
        <v>271</v>
      </c>
      <c r="B115" s="73">
        <v>7.5</v>
      </c>
      <c r="C115" s="74">
        <v>5.5E-2</v>
      </c>
      <c r="D115" s="75">
        <v>0.14000000000000001</v>
      </c>
      <c r="E115" s="76">
        <v>8.2500000000000004E-2</v>
      </c>
      <c r="F115" s="77" t="s">
        <v>156</v>
      </c>
    </row>
    <row r="116" spans="1:6" ht="15" customHeight="1">
      <c r="A116" s="72" t="s">
        <v>272</v>
      </c>
      <c r="B116" s="73">
        <v>748.5</v>
      </c>
      <c r="C116" s="74">
        <v>6.0000000000000001E-3</v>
      </c>
      <c r="D116" s="75">
        <v>6.6500000000000004E-2</v>
      </c>
      <c r="E116" s="76">
        <v>8.9999999999999993E-3</v>
      </c>
      <c r="F116" s="77" t="s">
        <v>150</v>
      </c>
    </row>
    <row r="117" spans="1:6" ht="15" customHeight="1">
      <c r="A117" s="72" t="s">
        <v>273</v>
      </c>
      <c r="B117" s="73">
        <v>14.8</v>
      </c>
      <c r="C117" s="74">
        <v>4.4999999999999998E-2</v>
      </c>
      <c r="D117" s="75">
        <v>0.125</v>
      </c>
      <c r="E117" s="76">
        <v>6.7500000000000004E-2</v>
      </c>
      <c r="F117" s="77" t="s">
        <v>156</v>
      </c>
    </row>
    <row r="118" spans="1:6" ht="15" customHeight="1">
      <c r="A118" s="72" t="s">
        <v>274</v>
      </c>
      <c r="B118" s="73">
        <v>45.5</v>
      </c>
      <c r="C118" s="74">
        <v>4.4999999999999998E-2</v>
      </c>
      <c r="D118" s="75">
        <v>0.125</v>
      </c>
      <c r="E118" s="76">
        <v>6.7500000000000004E-2</v>
      </c>
      <c r="F118" s="77" t="s">
        <v>152</v>
      </c>
    </row>
    <row r="119" spans="1:6" ht="15" customHeight="1">
      <c r="A119" s="72" t="s">
        <v>275</v>
      </c>
      <c r="B119" s="73">
        <v>1</v>
      </c>
      <c r="C119" s="74">
        <v>1.2E-2</v>
      </c>
      <c r="D119" s="75">
        <v>7.5499999999999998E-2</v>
      </c>
      <c r="E119" s="76">
        <v>1.7999999999999999E-2</v>
      </c>
      <c r="F119" s="77" t="s">
        <v>150</v>
      </c>
    </row>
    <row r="120" spans="1:6" ht="15" customHeight="1">
      <c r="A120" s="72" t="s">
        <v>276</v>
      </c>
      <c r="B120" s="73">
        <v>297.89999999999998</v>
      </c>
      <c r="C120" s="74">
        <v>0</v>
      </c>
      <c r="D120" s="75">
        <v>5.7500000000000002E-2</v>
      </c>
      <c r="E120" s="76">
        <v>0</v>
      </c>
      <c r="F120" s="77" t="s">
        <v>169</v>
      </c>
    </row>
    <row r="121" spans="1:6" ht="15" customHeight="1">
      <c r="A121" s="72" t="s">
        <v>277</v>
      </c>
      <c r="B121" s="73">
        <v>97.7</v>
      </c>
      <c r="C121" s="74">
        <v>8.5000000000000006E-3</v>
      </c>
      <c r="D121" s="75">
        <v>7.0300000000000001E-2</v>
      </c>
      <c r="E121" s="76">
        <v>1.2800000000000001E-2</v>
      </c>
      <c r="F121" s="77" t="s">
        <v>152</v>
      </c>
    </row>
    <row r="122" spans="1:6" ht="15" customHeight="1">
      <c r="A122" s="72" t="s">
        <v>278</v>
      </c>
      <c r="B122" s="73">
        <v>48</v>
      </c>
      <c r="C122" s="74">
        <v>2.5000000000000001E-2</v>
      </c>
      <c r="D122" s="75">
        <v>9.5000000000000001E-2</v>
      </c>
      <c r="E122" s="76">
        <v>3.7499999999999999E-2</v>
      </c>
      <c r="F122" s="77" t="s">
        <v>152</v>
      </c>
    </row>
    <row r="123" spans="1:6" ht="15" customHeight="1">
      <c r="A123" s="72" t="s">
        <v>279</v>
      </c>
      <c r="B123" s="73">
        <v>350.6</v>
      </c>
      <c r="C123" s="74">
        <v>1.9E-2</v>
      </c>
      <c r="D123" s="75">
        <v>8.5999999999999993E-2</v>
      </c>
      <c r="E123" s="76">
        <v>2.8500000000000001E-2</v>
      </c>
      <c r="F123" s="77" t="s">
        <v>156</v>
      </c>
    </row>
    <row r="124" spans="1:6" ht="15" customHeight="1">
      <c r="A124" s="72" t="s">
        <v>280</v>
      </c>
      <c r="B124" s="73">
        <v>1393</v>
      </c>
      <c r="C124" s="74">
        <v>1.9E-2</v>
      </c>
      <c r="D124" s="75">
        <v>8.5999999999999993E-2</v>
      </c>
      <c r="E124" s="76">
        <v>2.8500000000000001E-2</v>
      </c>
      <c r="F124" s="77" t="s">
        <v>154</v>
      </c>
    </row>
    <row r="125" spans="1:6" ht="15" customHeight="1">
      <c r="A125" s="72" t="s">
        <v>281</v>
      </c>
      <c r="B125" s="73">
        <v>67.2</v>
      </c>
      <c r="C125" s="74">
        <v>4.4999999999999998E-2</v>
      </c>
      <c r="D125" s="75">
        <v>0.125</v>
      </c>
      <c r="E125" s="76">
        <v>6.7500000000000004E-2</v>
      </c>
      <c r="F125" s="77" t="s">
        <v>169</v>
      </c>
    </row>
    <row r="126" spans="1:6" ht="15" customHeight="1">
      <c r="A126" s="72" t="s">
        <v>282</v>
      </c>
      <c r="B126" s="73">
        <v>1.5</v>
      </c>
      <c r="C126" s="74">
        <v>1.6E-2</v>
      </c>
      <c r="D126" s="75">
        <v>8.1500000000000003E-2</v>
      </c>
      <c r="E126" s="76">
        <v>2.4E-2</v>
      </c>
      <c r="F126" s="77" t="s">
        <v>161</v>
      </c>
    </row>
    <row r="127" spans="1:6" ht="15" customHeight="1">
      <c r="A127" s="72" t="s">
        <v>283</v>
      </c>
      <c r="B127" s="73">
        <v>0.71299999999999997</v>
      </c>
      <c r="C127" s="74">
        <v>6.5000000000000002E-2</v>
      </c>
      <c r="D127" s="75">
        <v>0.155</v>
      </c>
      <c r="E127" s="76">
        <v>9.7500000000000003E-2</v>
      </c>
      <c r="F127" s="77" t="s">
        <v>161</v>
      </c>
    </row>
    <row r="128" spans="1:6" ht="15" customHeight="1">
      <c r="A128" s="72" t="s">
        <v>284</v>
      </c>
      <c r="B128" s="73">
        <v>5.3</v>
      </c>
      <c r="C128" s="74">
        <v>3.5999999999999997E-2</v>
      </c>
      <c r="D128" s="75">
        <v>0.1115</v>
      </c>
      <c r="E128" s="76">
        <v>5.3999999999999999E-2</v>
      </c>
      <c r="F128" s="77" t="s">
        <v>158</v>
      </c>
    </row>
    <row r="129" spans="1:6" ht="15" customHeight="1">
      <c r="A129" s="72" t="s">
        <v>285</v>
      </c>
      <c r="B129" s="73">
        <v>579.70000000000005</v>
      </c>
      <c r="C129" s="74">
        <v>0</v>
      </c>
      <c r="D129" s="75">
        <v>5.7500000000000002E-2</v>
      </c>
      <c r="E129" s="76">
        <v>0</v>
      </c>
      <c r="F129" s="77" t="s">
        <v>154</v>
      </c>
    </row>
    <row r="130" spans="1:6" ht="15" customHeight="1">
      <c r="A130" s="72" t="s">
        <v>286</v>
      </c>
      <c r="B130" s="73">
        <v>685.4</v>
      </c>
      <c r="C130" s="74">
        <v>0</v>
      </c>
      <c r="D130" s="75">
        <v>5.7500000000000002E-2</v>
      </c>
      <c r="E130" s="76">
        <v>0</v>
      </c>
      <c r="F130" s="77" t="s">
        <v>154</v>
      </c>
    </row>
    <row r="131" spans="1:6" ht="15" customHeight="1">
      <c r="A131" s="72" t="s">
        <v>287</v>
      </c>
      <c r="B131" s="73">
        <v>970.9</v>
      </c>
      <c r="C131" s="74">
        <v>6.0000000000000001E-3</v>
      </c>
      <c r="D131" s="75">
        <v>6.6500000000000004E-2</v>
      </c>
      <c r="E131" s="76">
        <v>8.9999999999999993E-3</v>
      </c>
      <c r="F131" s="77" t="s">
        <v>169</v>
      </c>
    </row>
    <row r="132" spans="1:6" ht="15" customHeight="1">
      <c r="A132" s="72" t="s">
        <v>288</v>
      </c>
      <c r="B132" s="73">
        <v>387.3</v>
      </c>
      <c r="C132" s="74">
        <v>1.6E-2</v>
      </c>
      <c r="D132" s="75">
        <v>8.1500000000000003E-2</v>
      </c>
      <c r="E132" s="76">
        <v>2.4E-2</v>
      </c>
      <c r="F132" s="77" t="s">
        <v>169</v>
      </c>
    </row>
    <row r="133" spans="1:6" ht="15" customHeight="1">
      <c r="A133" s="72" t="s">
        <v>289</v>
      </c>
      <c r="B133" s="73">
        <v>24.6</v>
      </c>
      <c r="C133" s="74">
        <v>1.6E-2</v>
      </c>
      <c r="D133" s="75">
        <v>8.1500000000000003E-2</v>
      </c>
      <c r="E133" s="76">
        <v>2.4E-2</v>
      </c>
      <c r="F133" s="77" t="s">
        <v>161</v>
      </c>
    </row>
    <row r="134" spans="1:6" ht="15" customHeight="1">
      <c r="A134" s="72" t="s">
        <v>290</v>
      </c>
      <c r="B134" s="73">
        <v>47</v>
      </c>
      <c r="C134" s="74">
        <v>3.5999999999999997E-2</v>
      </c>
      <c r="D134" s="75">
        <v>0.1115</v>
      </c>
      <c r="E134" s="76">
        <v>5.3999999999999999E-2</v>
      </c>
      <c r="F134" s="77" t="s">
        <v>156</v>
      </c>
    </row>
    <row r="135" spans="1:6" ht="15" customHeight="1">
      <c r="A135" s="72" t="s">
        <v>291</v>
      </c>
      <c r="B135" s="73">
        <v>822.1</v>
      </c>
      <c r="C135" s="74">
        <v>2.1999999999999999E-2</v>
      </c>
      <c r="D135" s="75">
        <v>9.0499999999999997E-2</v>
      </c>
      <c r="E135" s="76">
        <v>3.3000000000000002E-2</v>
      </c>
      <c r="F135" s="77" t="s">
        <v>154</v>
      </c>
    </row>
    <row r="136" spans="1:6" ht="15" customHeight="1">
      <c r="A136" s="72" t="s">
        <v>292</v>
      </c>
      <c r="B136" s="73">
        <v>1.5</v>
      </c>
      <c r="C136" s="74">
        <v>1.6E-2</v>
      </c>
      <c r="D136" s="75">
        <v>8.1500000000000003E-2</v>
      </c>
      <c r="E136" s="76">
        <v>2.4E-2</v>
      </c>
      <c r="F136" s="77" t="s">
        <v>161</v>
      </c>
    </row>
    <row r="137" spans="1:6" ht="15" customHeight="1">
      <c r="A137" s="72" t="s">
        <v>293</v>
      </c>
      <c r="B137" s="73">
        <v>21.5</v>
      </c>
      <c r="C137" s="74">
        <v>4.4999999999999998E-2</v>
      </c>
      <c r="D137" s="75">
        <v>0.125</v>
      </c>
      <c r="E137" s="76">
        <v>6.7500000000000004E-2</v>
      </c>
      <c r="F137" s="77" t="s">
        <v>156</v>
      </c>
    </row>
    <row r="138" spans="1:6" ht="15" customHeight="1">
      <c r="A138" s="72" t="s">
        <v>294</v>
      </c>
      <c r="B138" s="73">
        <v>177.4</v>
      </c>
      <c r="C138" s="74">
        <v>0.1</v>
      </c>
      <c r="D138" s="75">
        <v>0.20749999999999999</v>
      </c>
      <c r="E138" s="76">
        <v>0.15</v>
      </c>
      <c r="F138" s="77" t="s">
        <v>152</v>
      </c>
    </row>
    <row r="139" spans="1:6" ht="15" customHeight="1">
      <c r="A139" s="72" t="s">
        <v>295</v>
      </c>
      <c r="B139" s="73">
        <v>402.3</v>
      </c>
      <c r="C139" s="74">
        <v>5.0000000000000001E-3</v>
      </c>
      <c r="D139" s="75">
        <v>6.5000000000000002E-2</v>
      </c>
      <c r="E139" s="76">
        <v>7.4999999999999997E-3</v>
      </c>
      <c r="F139" s="77" t="s">
        <v>150</v>
      </c>
    </row>
    <row r="140" spans="1:6" ht="15" customHeight="1">
      <c r="A140" s="72" t="s">
        <v>5</v>
      </c>
      <c r="B140" s="73">
        <v>2678.5</v>
      </c>
      <c r="C140" s="74">
        <v>4.0000000000000001E-3</v>
      </c>
      <c r="D140" s="75">
        <v>6.3500000000000001E-2</v>
      </c>
      <c r="E140" s="76">
        <v>6.0000000000000001E-3</v>
      </c>
      <c r="F140" s="77" t="s">
        <v>154</v>
      </c>
    </row>
    <row r="141" spans="1:6" ht="15" customHeight="1">
      <c r="A141" s="72" t="s">
        <v>14</v>
      </c>
      <c r="B141" s="73">
        <v>16768.400000000001</v>
      </c>
      <c r="C141" s="74">
        <v>0</v>
      </c>
      <c r="D141" s="75">
        <v>5.7500000000000002E-2</v>
      </c>
      <c r="E141" s="76">
        <v>0</v>
      </c>
      <c r="F141" s="77" t="s">
        <v>184</v>
      </c>
    </row>
    <row r="142" spans="1:6" ht="15" customHeight="1">
      <c r="A142" s="72" t="s">
        <v>296</v>
      </c>
      <c r="B142" s="73">
        <v>55.7</v>
      </c>
      <c r="C142" s="74">
        <v>1.9E-2</v>
      </c>
      <c r="D142" s="75">
        <v>8.5999999999999993E-2</v>
      </c>
      <c r="E142" s="76">
        <v>2.8500000000000001E-2</v>
      </c>
      <c r="F142" s="77" t="s">
        <v>158</v>
      </c>
    </row>
    <row r="143" spans="1:6" ht="15" customHeight="1">
      <c r="A143" s="72" t="s">
        <v>297</v>
      </c>
      <c r="B143" s="73">
        <v>438.3</v>
      </c>
      <c r="C143" s="74">
        <v>7.4999999999999997E-2</v>
      </c>
      <c r="D143" s="75">
        <v>0.17</v>
      </c>
      <c r="E143" s="76">
        <v>0.1125</v>
      </c>
      <c r="F143" s="77" t="s">
        <v>158</v>
      </c>
    </row>
    <row r="144" spans="1:6" ht="15" customHeight="1">
      <c r="A144" s="72" t="s">
        <v>298</v>
      </c>
      <c r="B144" s="73">
        <v>171.4</v>
      </c>
      <c r="C144" s="74">
        <v>4.4999999999999998E-2</v>
      </c>
      <c r="D144" s="75">
        <v>0.125</v>
      </c>
      <c r="E144" s="76">
        <v>6.7500000000000004E-2</v>
      </c>
      <c r="F144" s="77" t="s">
        <v>169</v>
      </c>
    </row>
    <row r="145" spans="1:6" ht="15" customHeight="1">
      <c r="A145" s="72" t="s">
        <v>299</v>
      </c>
      <c r="B145" s="73">
        <v>26.8</v>
      </c>
      <c r="C145" s="74">
        <v>4.4999999999999998E-2</v>
      </c>
      <c r="D145" s="75">
        <v>0.125</v>
      </c>
      <c r="E145" s="76">
        <v>6.7500000000000004E-2</v>
      </c>
      <c r="F145" s="77" t="s">
        <v>156</v>
      </c>
    </row>
    <row r="148" spans="1:6" ht="15" customHeight="1">
      <c r="A148" s="1" t="s">
        <v>148</v>
      </c>
      <c r="B148" s="1" t="s">
        <v>300</v>
      </c>
      <c r="C148" s="1" t="s">
        <v>301</v>
      </c>
      <c r="D148" s="1" t="s">
        <v>302</v>
      </c>
    </row>
    <row r="149" spans="1:6" ht="15" customHeight="1">
      <c r="A149" s="78" t="s">
        <v>156</v>
      </c>
      <c r="B149" s="79">
        <v>0.11729931023156509</v>
      </c>
      <c r="C149" s="79">
        <v>5.9799310231565116E-2</v>
      </c>
      <c r="D149" s="79">
        <v>3.9866206821043408E-2</v>
      </c>
    </row>
    <row r="150" spans="1:6" ht="15" customHeight="1">
      <c r="A150" s="78" t="s">
        <v>169</v>
      </c>
      <c r="B150" s="79">
        <v>7.2635132552806722E-2</v>
      </c>
      <c r="C150" s="79">
        <v>1.5135132552806728E-2</v>
      </c>
      <c r="D150" s="79">
        <v>1.0090088368537817E-2</v>
      </c>
    </row>
    <row r="151" spans="1:6" ht="15" customHeight="1">
      <c r="A151" s="78" t="s">
        <v>163</v>
      </c>
      <c r="B151" s="79">
        <v>5.7546354583953303E-2</v>
      </c>
      <c r="C151" s="79">
        <v>4.6354583953302045E-5</v>
      </c>
      <c r="D151" s="79">
        <v>3.0903055968868028E-5</v>
      </c>
    </row>
    <row r="152" spans="1:6" ht="15" customHeight="1">
      <c r="A152" s="78" t="s">
        <v>161</v>
      </c>
      <c r="B152" s="79">
        <v>0.14368591343876252</v>
      </c>
      <c r="C152" s="79">
        <v>8.6185913438762543E-2</v>
      </c>
      <c r="D152" s="79">
        <v>5.7457275625841693E-2</v>
      </c>
    </row>
    <row r="153" spans="1:6" ht="15" customHeight="1">
      <c r="A153" s="78" t="s">
        <v>158</v>
      </c>
      <c r="B153" s="79">
        <v>9.9547111393186727E-2</v>
      </c>
      <c r="C153" s="79">
        <v>4.2047111393186717E-2</v>
      </c>
      <c r="D153" s="79">
        <v>2.8031407595457827E-2</v>
      </c>
    </row>
    <row r="154" spans="1:6" ht="15" customHeight="1">
      <c r="A154" s="78" t="s">
        <v>152</v>
      </c>
      <c r="B154" s="79">
        <v>9.0780617603809274E-2</v>
      </c>
      <c r="C154" s="79">
        <v>3.3280617603809265E-2</v>
      </c>
      <c r="D154" s="79">
        <v>2.2187078402539511E-2</v>
      </c>
    </row>
    <row r="155" spans="1:6" ht="15" customHeight="1">
      <c r="A155" s="78" t="s">
        <v>150</v>
      </c>
      <c r="B155" s="79">
        <v>6.8453750623027082E-2</v>
      </c>
      <c r="C155" s="79">
        <v>1.0953750623027081E-2</v>
      </c>
      <c r="D155" s="79">
        <v>7.3025004153513869E-3</v>
      </c>
    </row>
    <row r="156" spans="1:6" ht="15" customHeight="1">
      <c r="A156" s="78" t="s">
        <v>184</v>
      </c>
      <c r="B156" s="79">
        <v>5.7500000000000009E-2</v>
      </c>
      <c r="C156" s="79">
        <v>0</v>
      </c>
      <c r="D156" s="79">
        <v>0</v>
      </c>
    </row>
    <row r="157" spans="1:6" ht="15" customHeight="1">
      <c r="A157" s="78" t="s">
        <v>154</v>
      </c>
      <c r="B157" s="79">
        <v>6.8794293133065204E-2</v>
      </c>
      <c r="C157" s="79">
        <v>1.1294293133065215E-2</v>
      </c>
      <c r="D157" s="79">
        <v>7.5295287553768095E-3</v>
      </c>
    </row>
    <row r="158" spans="1:6" ht="15" customHeight="1">
      <c r="A158" s="80" t="s">
        <v>303</v>
      </c>
      <c r="B158" s="81">
        <v>7.183808550897261E-2</v>
      </c>
      <c r="C158" s="81">
        <v>1.4338085508972608E-2</v>
      </c>
      <c r="D158" s="81">
        <v>9.5587236726484073E-3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rgb="FFFF0000"/>
  </sheetPr>
  <dimension ref="A1:M999"/>
  <sheetViews>
    <sheetView showGridLines="0" tabSelected="1" zoomScale="85" zoomScaleNormal="85" workbookViewId="0">
      <selection activeCell="A13" sqref="A13"/>
    </sheetView>
  </sheetViews>
  <sheetFormatPr defaultColWidth="9.1328125" defaultRowHeight="15" customHeight="1"/>
  <cols>
    <col min="1" max="1" width="80.73046875" style="3" customWidth="1"/>
    <col min="2" max="13" width="15.73046875" style="1" customWidth="1"/>
    <col min="14" max="16384" width="9.1328125" style="1"/>
  </cols>
  <sheetData>
    <row r="1" spans="1:13" ht="15" customHeight="1">
      <c r="A1" s="2" t="s">
        <v>2</v>
      </c>
      <c r="B1" s="11">
        <v>42091</v>
      </c>
      <c r="C1" s="11">
        <v>41999</v>
      </c>
      <c r="D1" s="11">
        <v>41908</v>
      </c>
      <c r="E1" s="11">
        <v>41817</v>
      </c>
      <c r="F1" s="11">
        <v>41726</v>
      </c>
      <c r="G1" s="11">
        <v>41635</v>
      </c>
      <c r="H1" s="11">
        <v>41544</v>
      </c>
      <c r="I1" s="11">
        <v>41453</v>
      </c>
      <c r="J1" s="11">
        <v>41362</v>
      </c>
      <c r="K1" s="11">
        <v>41271</v>
      </c>
      <c r="L1" s="11">
        <v>41180</v>
      </c>
      <c r="M1" s="11">
        <v>41089</v>
      </c>
    </row>
    <row r="2" spans="1:13" ht="15" customHeight="1">
      <c r="A2" s="2" t="s">
        <v>1</v>
      </c>
      <c r="B2" s="4" t="s">
        <v>13</v>
      </c>
      <c r="C2" s="4" t="s">
        <v>13</v>
      </c>
      <c r="D2" s="4" t="s">
        <v>13</v>
      </c>
      <c r="E2" s="4" t="s">
        <v>13</v>
      </c>
      <c r="F2" s="4" t="s">
        <v>13</v>
      </c>
      <c r="G2" s="4" t="s">
        <v>13</v>
      </c>
      <c r="H2" s="4" t="s">
        <v>13</v>
      </c>
      <c r="I2" s="4" t="s">
        <v>13</v>
      </c>
      <c r="J2" s="4" t="s">
        <v>13</v>
      </c>
      <c r="K2" s="4" t="s">
        <v>13</v>
      </c>
      <c r="L2" s="4" t="s">
        <v>13</v>
      </c>
      <c r="M2" s="4" t="s">
        <v>13</v>
      </c>
    </row>
    <row r="4" spans="1:13" ht="15" customHeight="1">
      <c r="A4" s="2" t="s">
        <v>10</v>
      </c>
      <c r="B4" s="4" t="s">
        <v>14</v>
      </c>
      <c r="C4" s="4" t="s">
        <v>14</v>
      </c>
      <c r="D4" s="4" t="s">
        <v>14</v>
      </c>
      <c r="E4" s="4" t="s">
        <v>14</v>
      </c>
      <c r="F4" s="4" t="s">
        <v>14</v>
      </c>
      <c r="G4" s="4" t="s">
        <v>14</v>
      </c>
      <c r="H4" s="4" t="s">
        <v>14</v>
      </c>
      <c r="I4" s="4" t="s">
        <v>14</v>
      </c>
      <c r="J4" s="4" t="s">
        <v>14</v>
      </c>
      <c r="K4" s="4" t="s">
        <v>14</v>
      </c>
      <c r="L4" s="4" t="s">
        <v>14</v>
      </c>
      <c r="M4" s="4" t="s">
        <v>14</v>
      </c>
    </row>
    <row r="5" spans="1:13" ht="15" customHeight="1">
      <c r="A5" s="2" t="s">
        <v>11</v>
      </c>
      <c r="B5" s="4" t="s">
        <v>15</v>
      </c>
      <c r="C5" s="4" t="s">
        <v>15</v>
      </c>
      <c r="D5" s="4" t="s">
        <v>15</v>
      </c>
      <c r="E5" s="4" t="s">
        <v>15</v>
      </c>
      <c r="F5" s="4" t="s">
        <v>15</v>
      </c>
      <c r="G5" s="4" t="s">
        <v>15</v>
      </c>
      <c r="H5" s="4" t="s">
        <v>15</v>
      </c>
      <c r="I5" s="4" t="s">
        <v>15</v>
      </c>
      <c r="J5" s="4" t="s">
        <v>15</v>
      </c>
      <c r="K5" s="4" t="s">
        <v>15</v>
      </c>
      <c r="L5" s="4" t="s">
        <v>15</v>
      </c>
      <c r="M5" s="4" t="s">
        <v>15</v>
      </c>
    </row>
    <row r="6" spans="1:13" ht="15" customHeight="1">
      <c r="A6" s="2" t="s">
        <v>12</v>
      </c>
      <c r="B6" s="4" t="s">
        <v>15</v>
      </c>
      <c r="C6" s="4" t="s">
        <v>15</v>
      </c>
      <c r="D6" s="4" t="s">
        <v>15</v>
      </c>
      <c r="E6" s="4" t="s">
        <v>15</v>
      </c>
      <c r="F6" s="4" t="s">
        <v>15</v>
      </c>
      <c r="G6" s="4" t="s">
        <v>15</v>
      </c>
      <c r="H6" s="4" t="s">
        <v>15</v>
      </c>
      <c r="I6" s="4" t="s">
        <v>15</v>
      </c>
      <c r="J6" s="4" t="s">
        <v>15</v>
      </c>
      <c r="K6" s="4" t="s">
        <v>15</v>
      </c>
      <c r="L6" s="4" t="s">
        <v>15</v>
      </c>
      <c r="M6" s="4" t="s">
        <v>15</v>
      </c>
    </row>
    <row r="7" spans="1:13" ht="15" customHeight="1">
      <c r="A7" s="2" t="s">
        <v>0</v>
      </c>
      <c r="B7" s="4">
        <v>2015</v>
      </c>
      <c r="C7" s="4">
        <v>2014</v>
      </c>
      <c r="D7" s="4">
        <v>2014</v>
      </c>
      <c r="E7" s="4">
        <v>2014</v>
      </c>
      <c r="F7" s="4">
        <v>2014</v>
      </c>
      <c r="G7" s="4">
        <v>2013</v>
      </c>
      <c r="H7" s="4">
        <v>2013</v>
      </c>
      <c r="I7" s="4">
        <v>2013</v>
      </c>
      <c r="J7" s="4">
        <v>2013</v>
      </c>
      <c r="K7" s="4">
        <v>2012</v>
      </c>
      <c r="L7" s="4">
        <v>2012</v>
      </c>
      <c r="M7" s="4">
        <v>2012</v>
      </c>
    </row>
    <row r="9" spans="1:13" ht="15" customHeight="1">
      <c r="A9" s="2" t="s">
        <v>498</v>
      </c>
      <c r="B9" s="18" t="s">
        <v>389</v>
      </c>
      <c r="C9" s="18" t="s">
        <v>389</v>
      </c>
      <c r="D9" s="18" t="s">
        <v>389</v>
      </c>
      <c r="E9" s="18" t="s">
        <v>389</v>
      </c>
      <c r="F9" s="18" t="s">
        <v>389</v>
      </c>
      <c r="G9" s="18" t="s">
        <v>389</v>
      </c>
      <c r="H9" s="18" t="s">
        <v>389</v>
      </c>
      <c r="I9" s="18" t="s">
        <v>389</v>
      </c>
      <c r="J9" s="18" t="s">
        <v>389</v>
      </c>
      <c r="K9" s="18" t="s">
        <v>389</v>
      </c>
      <c r="L9" s="18" t="s">
        <v>389</v>
      </c>
      <c r="M9" s="18" t="s">
        <v>389</v>
      </c>
    </row>
    <row r="11" spans="1:13" ht="15" customHeight="1">
      <c r="A11" s="2" t="s">
        <v>377</v>
      </c>
      <c r="B11" s="36">
        <f t="shared" ref="B11:I11" ca="1" si="0">IF(B12=0,#N/A,B13/B12)</f>
        <v>0.9438111246924028</v>
      </c>
      <c r="C11" s="36">
        <f t="shared" ca="1" si="0"/>
        <v>1.0644273253468428</v>
      </c>
      <c r="D11" s="36">
        <f t="shared" ca="1" si="0"/>
        <v>0.93947649581844384</v>
      </c>
      <c r="E11" s="36">
        <f t="shared" ca="1" si="0"/>
        <v>0.94726886166582824</v>
      </c>
      <c r="F11" s="36">
        <f t="shared" ca="1" si="0"/>
        <v>0.80652807625270451</v>
      </c>
      <c r="G11" s="36">
        <f t="shared" ca="1" si="0"/>
        <v>0.80568794218047002</v>
      </c>
      <c r="H11" s="36">
        <f t="shared" ca="1" si="0"/>
        <v>0.8235015521741943</v>
      </c>
      <c r="I11" s="36">
        <f t="shared" ca="1" si="0"/>
        <v>0.80096289818353139</v>
      </c>
      <c r="J11" s="36">
        <f t="shared" ref="J11:M11" ca="1" si="1">IF(J12=0,#N/A,J13/J12)</f>
        <v>0.69483271174467587</v>
      </c>
      <c r="K11" s="36">
        <f t="shared" ca="1" si="1"/>
        <v>0.85946744155778332</v>
      </c>
      <c r="L11" s="36">
        <f t="shared" ca="1" si="1"/>
        <v>0.84012520674493951</v>
      </c>
      <c r="M11" s="36">
        <f t="shared" ca="1" si="1"/>
        <v>0.87690845613313706</v>
      </c>
    </row>
    <row r="12" spans="1:13" ht="15" customHeight="1">
      <c r="A12" s="2" t="s">
        <v>16</v>
      </c>
      <c r="B12" s="47">
        <f t="shared" ref="B12:I12" ca="1" si="2">IF(B14=0,#N/A,B23/B14)</f>
        <v>130.58756860931086</v>
      </c>
      <c r="C12" s="47">
        <f t="shared" ca="1" si="2"/>
        <v>121.27648071974865</v>
      </c>
      <c r="D12" s="47">
        <f t="shared" ca="1" si="2"/>
        <v>107.24057541453404</v>
      </c>
      <c r="E12" s="47">
        <f t="shared" ca="1" si="2"/>
        <v>100.28831712354283</v>
      </c>
      <c r="F12" s="47">
        <f t="shared" ca="1" si="2"/>
        <v>100.07622560308241</v>
      </c>
      <c r="G12" s="47">
        <f t="shared" ca="1" si="2"/>
        <v>100.18058045630539</v>
      </c>
      <c r="H12" s="47">
        <f t="shared" ca="1" si="2"/>
        <v>86.737628168382898</v>
      </c>
      <c r="I12" s="47">
        <f t="shared" ca="1" si="2"/>
        <v>90.241383419782167</v>
      </c>
      <c r="J12" s="47">
        <f t="shared" ref="J12:M12" ca="1" si="3">IF(J14=0,#N/A,J23/J14)</f>
        <v>85.940521660742434</v>
      </c>
      <c r="K12" s="47">
        <f t="shared" ca="1" si="3"/>
        <v>84.70361584384176</v>
      </c>
      <c r="L12" s="47">
        <f t="shared" ca="1" si="3"/>
        <v>86.721767508235416</v>
      </c>
      <c r="M12" s="47">
        <f t="shared" ca="1" si="3"/>
        <v>95.14105995498943</v>
      </c>
    </row>
    <row r="13" spans="1:13" ht="15" customHeight="1">
      <c r="A13" s="2" t="s">
        <v>17</v>
      </c>
      <c r="B13" s="47">
        <f t="shared" ref="B13:I13" si="4">B604</f>
        <v>123.25</v>
      </c>
      <c r="C13" s="47">
        <f t="shared" si="4"/>
        <v>129.09</v>
      </c>
      <c r="D13" s="47">
        <f t="shared" si="4"/>
        <v>100.75</v>
      </c>
      <c r="E13" s="47">
        <f t="shared" si="4"/>
        <v>95</v>
      </c>
      <c r="F13" s="47">
        <f t="shared" si="4"/>
        <v>80.714285714285708</v>
      </c>
      <c r="G13" s="47">
        <f t="shared" si="4"/>
        <v>80.714285714285708</v>
      </c>
      <c r="H13" s="47">
        <f t="shared" si="4"/>
        <v>71.428571428571431</v>
      </c>
      <c r="I13" s="47">
        <f t="shared" si="4"/>
        <v>72.28</v>
      </c>
      <c r="J13" s="47">
        <f t="shared" ref="J13:M13" si="5">J604</f>
        <v>59.714285714285715</v>
      </c>
      <c r="K13" s="47">
        <f t="shared" si="5"/>
        <v>72.8</v>
      </c>
      <c r="L13" s="47">
        <f t="shared" si="5"/>
        <v>72.857142857142861</v>
      </c>
      <c r="M13" s="47">
        <f t="shared" si="5"/>
        <v>83.43</v>
      </c>
    </row>
    <row r="14" spans="1:13" ht="15" customHeight="1">
      <c r="A14" s="2" t="s">
        <v>18</v>
      </c>
      <c r="B14" s="49">
        <f t="shared" ref="B14:I14" si="6">B603</f>
        <v>5762</v>
      </c>
      <c r="C14" s="49">
        <f t="shared" si="6"/>
        <v>5824.75</v>
      </c>
      <c r="D14" s="49">
        <f t="shared" si="6"/>
        <v>5866</v>
      </c>
      <c r="E14" s="49">
        <f t="shared" si="6"/>
        <v>6012.6350000000002</v>
      </c>
      <c r="F14" s="49">
        <f t="shared" si="6"/>
        <v>6029.66</v>
      </c>
      <c r="G14" s="49">
        <f t="shared" si="6"/>
        <v>6029.66</v>
      </c>
      <c r="H14" s="49">
        <f t="shared" si="6"/>
        <v>6359.5</v>
      </c>
      <c r="I14" s="49">
        <f t="shared" si="6"/>
        <v>6359</v>
      </c>
      <c r="J14" s="49">
        <f t="shared" ref="J14:M14" si="7">J603</f>
        <v>6581</v>
      </c>
      <c r="K14" s="49">
        <f t="shared" si="7"/>
        <v>6573</v>
      </c>
      <c r="L14" s="49">
        <f t="shared" si="7"/>
        <v>6574.4560000000001</v>
      </c>
      <c r="M14" s="49">
        <f t="shared" si="7"/>
        <v>6561</v>
      </c>
    </row>
    <row r="16" spans="1:13" ht="15" customHeight="1">
      <c r="A16" s="2" t="s">
        <v>137</v>
      </c>
      <c r="B16" s="83" t="s">
        <v>138</v>
      </c>
      <c r="C16" s="83" t="s">
        <v>138</v>
      </c>
      <c r="D16" s="83" t="s">
        <v>138</v>
      </c>
      <c r="E16" s="83" t="s">
        <v>138</v>
      </c>
      <c r="F16" s="83" t="s">
        <v>138</v>
      </c>
      <c r="G16" s="83" t="s">
        <v>138</v>
      </c>
      <c r="H16" s="83" t="s">
        <v>138</v>
      </c>
      <c r="I16" s="83" t="s">
        <v>138</v>
      </c>
      <c r="J16" s="83" t="s">
        <v>138</v>
      </c>
      <c r="K16" s="83" t="s">
        <v>138</v>
      </c>
      <c r="L16" s="83" t="s">
        <v>138</v>
      </c>
      <c r="M16" s="83" t="s">
        <v>138</v>
      </c>
    </row>
    <row r="17" spans="1:13" ht="15" customHeight="1">
      <c r="A17" s="2" t="s">
        <v>66</v>
      </c>
      <c r="B17" s="83" t="s">
        <v>506</v>
      </c>
      <c r="C17" s="83" t="s">
        <v>506</v>
      </c>
      <c r="D17" s="83" t="s">
        <v>506</v>
      </c>
      <c r="E17" s="83" t="s">
        <v>506</v>
      </c>
      <c r="F17" s="83" t="s">
        <v>506</v>
      </c>
      <c r="G17" s="83" t="s">
        <v>506</v>
      </c>
      <c r="H17" s="83" t="s">
        <v>506</v>
      </c>
      <c r="I17" s="83" t="s">
        <v>506</v>
      </c>
      <c r="J17" s="83" t="s">
        <v>506</v>
      </c>
      <c r="K17" s="83" t="s">
        <v>506</v>
      </c>
      <c r="L17" s="83" t="s">
        <v>506</v>
      </c>
      <c r="M17" s="83" t="s">
        <v>506</v>
      </c>
    </row>
    <row r="18" spans="1:13" ht="15" customHeight="1">
      <c r="A18" s="2" t="s">
        <v>39</v>
      </c>
      <c r="B18" s="83" t="s">
        <v>506</v>
      </c>
      <c r="C18" s="83" t="s">
        <v>506</v>
      </c>
      <c r="D18" s="83" t="s">
        <v>506</v>
      </c>
      <c r="E18" s="83" t="s">
        <v>506</v>
      </c>
      <c r="F18" s="83" t="s">
        <v>506</v>
      </c>
      <c r="G18" s="83" t="s">
        <v>506</v>
      </c>
      <c r="H18" s="83" t="s">
        <v>506</v>
      </c>
      <c r="I18" s="83" t="s">
        <v>506</v>
      </c>
      <c r="J18" s="83" t="s">
        <v>506</v>
      </c>
      <c r="K18" s="83" t="s">
        <v>506</v>
      </c>
      <c r="L18" s="83" t="s">
        <v>506</v>
      </c>
      <c r="M18" s="83" t="s">
        <v>506</v>
      </c>
    </row>
    <row r="19" spans="1:13" ht="15" customHeight="1">
      <c r="B19" s="4"/>
      <c r="C19" s="4"/>
      <c r="D19" s="4"/>
      <c r="E19" s="4"/>
      <c r="F19" s="4"/>
      <c r="G19" s="4"/>
      <c r="H19" s="4"/>
      <c r="I19" s="4"/>
      <c r="J19" s="4"/>
      <c r="K19" s="4"/>
      <c r="L19" s="4"/>
      <c r="M19" s="4"/>
    </row>
    <row r="20" spans="1:13" ht="15" customHeight="1">
      <c r="A20" s="2" t="s">
        <v>491</v>
      </c>
      <c r="B20" s="9"/>
      <c r="C20" s="9"/>
      <c r="D20" s="9"/>
      <c r="E20" s="9"/>
      <c r="F20" s="9"/>
      <c r="G20" s="9"/>
      <c r="H20" s="9"/>
      <c r="I20" s="9"/>
      <c r="J20" s="9"/>
      <c r="K20" s="9"/>
      <c r="L20" s="9"/>
      <c r="M20" s="9"/>
    </row>
    <row r="21" spans="1:13" ht="15" customHeight="1">
      <c r="B21" s="16"/>
      <c r="C21" s="16"/>
      <c r="D21" s="16"/>
      <c r="E21" s="16"/>
      <c r="F21" s="16"/>
      <c r="G21" s="16"/>
      <c r="H21" s="16"/>
      <c r="I21" s="16"/>
      <c r="J21" s="16"/>
      <c r="K21" s="16"/>
      <c r="L21" s="16"/>
      <c r="M21" s="16"/>
    </row>
    <row r="22" spans="1:13" ht="15" customHeight="1">
      <c r="A22" s="23" t="s">
        <v>376</v>
      </c>
      <c r="B22" s="26"/>
      <c r="C22" s="26"/>
      <c r="D22" s="26"/>
      <c r="E22" s="26"/>
      <c r="F22" s="26"/>
      <c r="G22" s="26"/>
      <c r="H22" s="26"/>
      <c r="I22" s="26"/>
      <c r="J22" s="26"/>
      <c r="K22" s="26"/>
      <c r="L22" s="26"/>
      <c r="M22" s="26"/>
    </row>
    <row r="23" spans="1:13" ht="15" customHeight="1">
      <c r="A23" s="102" t="s">
        <v>391</v>
      </c>
      <c r="B23" s="41">
        <f t="shared" ref="B23:I23" ca="1" si="8">+B27-B24-B25</f>
        <v>752445.57032684912</v>
      </c>
      <c r="C23" s="41">
        <f t="shared" ca="1" si="8"/>
        <v>706405.18107235595</v>
      </c>
      <c r="D23" s="41">
        <f t="shared" ca="1" si="8"/>
        <v>629073.21538165666</v>
      </c>
      <c r="E23" s="41">
        <f t="shared" ca="1" si="8"/>
        <v>602997.04562811297</v>
      </c>
      <c r="F23" s="41">
        <f t="shared" ca="1" si="8"/>
        <v>603425.61446988187</v>
      </c>
      <c r="G23" s="41">
        <f t="shared" ca="1" si="8"/>
        <v>604054.83875416638</v>
      </c>
      <c r="H23" s="41">
        <f t="shared" ca="1" si="8"/>
        <v>551607.94633683108</v>
      </c>
      <c r="I23" s="41">
        <f t="shared" ca="1" si="8"/>
        <v>573844.9571663948</v>
      </c>
      <c r="J23" s="41">
        <f t="shared" ref="J23:M23" ca="1" si="9">+J27-J24-J25</f>
        <v>565574.57304934599</v>
      </c>
      <c r="K23" s="41">
        <f t="shared" ca="1" si="9"/>
        <v>556756.86694157193</v>
      </c>
      <c r="L23" s="41">
        <f t="shared" ca="1" si="9"/>
        <v>570148.44472512335</v>
      </c>
      <c r="M23" s="41">
        <f t="shared" ca="1" si="9"/>
        <v>624220.49436468561</v>
      </c>
    </row>
    <row r="24" spans="1:13" ht="15" customHeight="1">
      <c r="A24" s="102" t="s">
        <v>374</v>
      </c>
      <c r="B24" s="41">
        <f t="shared" ref="B24:I24" ca="1" si="10">B613</f>
        <v>243.77789810670859</v>
      </c>
      <c r="C24" s="41">
        <f t="shared" ca="1" si="10"/>
        <v>388.43255055377296</v>
      </c>
      <c r="D24" s="41">
        <f t="shared" ca="1" si="10"/>
        <v>533.55452659223045</v>
      </c>
      <c r="E24" s="41">
        <f t="shared" ca="1" si="10"/>
        <v>2149.5190683715878</v>
      </c>
      <c r="F24" s="41">
        <f t="shared" ca="1" si="10"/>
        <v>4.3349131307109214</v>
      </c>
      <c r="G24" s="41">
        <f t="shared" ca="1" si="10"/>
        <v>4.3401343419853813</v>
      </c>
      <c r="H24" s="41">
        <f t="shared" ca="1" si="10"/>
        <v>1.8403728921915363</v>
      </c>
      <c r="I24" s="41">
        <f t="shared" ca="1" si="10"/>
        <v>12.820259061110194</v>
      </c>
      <c r="J24" s="41">
        <f t="shared" ref="J24:M24" ca="1" si="11">J613</f>
        <v>5.2601416436086463</v>
      </c>
      <c r="K24" s="41">
        <f t="shared" ca="1" si="11"/>
        <v>20.905853768651159</v>
      </c>
      <c r="L24" s="41">
        <f t="shared" ca="1" si="11"/>
        <v>30.250874308258872</v>
      </c>
      <c r="M24" s="41">
        <f t="shared" ca="1" si="11"/>
        <v>71.457574689797127</v>
      </c>
    </row>
    <row r="25" spans="1:13" ht="15" customHeight="1">
      <c r="A25" s="102" t="s">
        <v>375</v>
      </c>
      <c r="B25" s="41">
        <f t="shared" ref="B25:I25" si="12">B680</f>
        <v>0</v>
      </c>
      <c r="C25" s="41">
        <f t="shared" si="12"/>
        <v>0</v>
      </c>
      <c r="D25" s="41">
        <f t="shared" si="12"/>
        <v>0</v>
      </c>
      <c r="E25" s="41">
        <f t="shared" si="12"/>
        <v>0</v>
      </c>
      <c r="F25" s="41">
        <f t="shared" si="12"/>
        <v>0</v>
      </c>
      <c r="G25" s="41">
        <f t="shared" si="12"/>
        <v>0</v>
      </c>
      <c r="H25" s="41">
        <f t="shared" si="12"/>
        <v>0</v>
      </c>
      <c r="I25" s="41">
        <f t="shared" si="12"/>
        <v>0</v>
      </c>
      <c r="J25" s="41">
        <f t="shared" ref="J25:M25" si="13">J680</f>
        <v>0</v>
      </c>
      <c r="K25" s="41">
        <f t="shared" si="13"/>
        <v>0</v>
      </c>
      <c r="L25" s="41">
        <f t="shared" si="13"/>
        <v>0</v>
      </c>
      <c r="M25" s="41">
        <f t="shared" si="13"/>
        <v>0</v>
      </c>
    </row>
    <row r="26" spans="1:13" ht="15" customHeight="1">
      <c r="A26" s="102"/>
    </row>
    <row r="27" spans="1:13" ht="15" customHeight="1">
      <c r="A27" s="102" t="s">
        <v>373</v>
      </c>
      <c r="B27" s="41">
        <f t="shared" ref="B27:I27" ca="1" si="14">+B28+B29+B30-B31-B32-B33-B34-B35-B36-B37+B39</f>
        <v>752689.34822495584</v>
      </c>
      <c r="C27" s="41">
        <f t="shared" ca="1" si="14"/>
        <v>706793.61362290976</v>
      </c>
      <c r="D27" s="41">
        <f t="shared" ca="1" si="14"/>
        <v>629606.76990824891</v>
      </c>
      <c r="E27" s="41">
        <f t="shared" ca="1" si="14"/>
        <v>605146.56469648459</v>
      </c>
      <c r="F27" s="41">
        <f t="shared" ca="1" si="14"/>
        <v>603429.9493830126</v>
      </c>
      <c r="G27" s="41">
        <f t="shared" ca="1" si="14"/>
        <v>604059.17888850835</v>
      </c>
      <c r="H27" s="41">
        <f t="shared" ca="1" si="14"/>
        <v>551609.7867097233</v>
      </c>
      <c r="I27" s="41">
        <f t="shared" ca="1" si="14"/>
        <v>573857.77742545586</v>
      </c>
      <c r="J27" s="41">
        <f t="shared" ref="J27:M27" ca="1" si="15">+J28+J29+J30-J31-J32-J33-J34-J35-J36-J37+J39</f>
        <v>565579.83319098956</v>
      </c>
      <c r="K27" s="41">
        <f t="shared" ca="1" si="15"/>
        <v>556777.77279534063</v>
      </c>
      <c r="L27" s="41">
        <f t="shared" ca="1" si="15"/>
        <v>570178.69559943164</v>
      </c>
      <c r="M27" s="41">
        <f t="shared" ca="1" si="15"/>
        <v>624291.95193937537</v>
      </c>
    </row>
    <row r="28" spans="1:13" ht="15" customHeight="1">
      <c r="A28" s="121" t="s">
        <v>439</v>
      </c>
      <c r="B28" s="41">
        <f t="shared" ref="B28:I28" si="16">B730</f>
        <v>0</v>
      </c>
      <c r="C28" s="41">
        <f t="shared" si="16"/>
        <v>0</v>
      </c>
      <c r="D28" s="41">
        <f t="shared" si="16"/>
        <v>0</v>
      </c>
      <c r="E28" s="41">
        <f t="shared" si="16"/>
        <v>0</v>
      </c>
      <c r="F28" s="41">
        <f t="shared" si="16"/>
        <v>0</v>
      </c>
      <c r="G28" s="41">
        <f t="shared" si="16"/>
        <v>0</v>
      </c>
      <c r="H28" s="41">
        <f t="shared" si="16"/>
        <v>0</v>
      </c>
      <c r="I28" s="41">
        <f t="shared" si="16"/>
        <v>0</v>
      </c>
      <c r="J28" s="41">
        <f t="shared" ref="J28:M28" si="17">J730</f>
        <v>0</v>
      </c>
      <c r="K28" s="41">
        <f t="shared" si="17"/>
        <v>0</v>
      </c>
      <c r="L28" s="41">
        <f t="shared" si="17"/>
        <v>0</v>
      </c>
      <c r="M28" s="41">
        <f t="shared" si="17"/>
        <v>0</v>
      </c>
    </row>
    <row r="29" spans="1:13" ht="15" customHeight="1">
      <c r="A29" s="102" t="s">
        <v>372</v>
      </c>
      <c r="B29" s="41">
        <f t="shared" ref="B29:I29" si="18">B74</f>
        <v>0</v>
      </c>
      <c r="C29" s="41">
        <f t="shared" si="18"/>
        <v>0</v>
      </c>
      <c r="D29" s="41">
        <f t="shared" si="18"/>
        <v>0</v>
      </c>
      <c r="E29" s="41">
        <f t="shared" si="18"/>
        <v>0</v>
      </c>
      <c r="F29" s="41">
        <f t="shared" si="18"/>
        <v>0</v>
      </c>
      <c r="G29" s="41">
        <f t="shared" si="18"/>
        <v>0</v>
      </c>
      <c r="H29" s="41">
        <f t="shared" si="18"/>
        <v>0</v>
      </c>
      <c r="I29" s="41">
        <f t="shared" si="18"/>
        <v>0</v>
      </c>
      <c r="J29" s="41">
        <f t="shared" ref="J29:M29" si="19">J74</f>
        <v>0</v>
      </c>
      <c r="K29" s="41">
        <f t="shared" si="19"/>
        <v>0</v>
      </c>
      <c r="L29" s="41">
        <f t="shared" si="19"/>
        <v>0</v>
      </c>
      <c r="M29" s="41">
        <f t="shared" si="19"/>
        <v>0</v>
      </c>
    </row>
    <row r="30" spans="1:13" ht="15" customHeight="1">
      <c r="A30" s="121" t="s">
        <v>431</v>
      </c>
      <c r="B30" s="41">
        <f t="shared" ref="B30:M30" si="20">B$983</f>
        <v>193539</v>
      </c>
      <c r="C30" s="41">
        <f t="shared" si="20"/>
        <v>177955</v>
      </c>
      <c r="D30" s="41">
        <f t="shared" si="20"/>
        <v>155239</v>
      </c>
      <c r="E30" s="41">
        <f t="shared" si="20"/>
        <v>164490</v>
      </c>
      <c r="F30" s="41">
        <f t="shared" si="20"/>
        <v>150589</v>
      </c>
      <c r="G30" s="41">
        <f t="shared" si="20"/>
        <v>158842</v>
      </c>
      <c r="H30" s="41">
        <f t="shared" si="20"/>
        <v>146761</v>
      </c>
      <c r="I30" s="41">
        <f t="shared" si="20"/>
        <v>146620</v>
      </c>
      <c r="J30" s="41">
        <f t="shared" si="20"/>
        <v>144687</v>
      </c>
      <c r="K30" s="41">
        <f t="shared" si="20"/>
        <v>137112</v>
      </c>
      <c r="L30" s="41">
        <f t="shared" si="20"/>
        <v>121251</v>
      </c>
      <c r="M30" s="41">
        <f t="shared" si="20"/>
        <v>117221</v>
      </c>
    </row>
    <row r="31" spans="1:13" ht="15" customHeight="1">
      <c r="A31" s="121" t="s">
        <v>457</v>
      </c>
      <c r="B31" s="41">
        <f t="shared" ref="B31:I31" ca="1" si="21">+B43</f>
        <v>0</v>
      </c>
      <c r="C31" s="41">
        <f t="shared" ca="1" si="21"/>
        <v>0</v>
      </c>
      <c r="D31" s="41">
        <f t="shared" ca="1" si="21"/>
        <v>0</v>
      </c>
      <c r="E31" s="41">
        <f t="shared" ca="1" si="21"/>
        <v>0</v>
      </c>
      <c r="F31" s="41">
        <f t="shared" ca="1" si="21"/>
        <v>0</v>
      </c>
      <c r="G31" s="41">
        <f t="shared" ca="1" si="21"/>
        <v>0</v>
      </c>
      <c r="H31" s="41">
        <f t="shared" ca="1" si="21"/>
        <v>0</v>
      </c>
      <c r="I31" s="41">
        <f t="shared" ca="1" si="21"/>
        <v>0</v>
      </c>
      <c r="J31" s="41">
        <f t="shared" ref="J31:M31" ca="1" si="22">+J43</f>
        <v>0</v>
      </c>
      <c r="K31" s="41">
        <f t="shared" ca="1" si="22"/>
        <v>0</v>
      </c>
      <c r="L31" s="41">
        <f t="shared" ca="1" si="22"/>
        <v>0</v>
      </c>
      <c r="M31" s="41">
        <f t="shared" ca="1" si="22"/>
        <v>0</v>
      </c>
    </row>
    <row r="32" spans="1:13" ht="15" customHeight="1">
      <c r="A32" s="102" t="s">
        <v>371</v>
      </c>
      <c r="B32" s="41">
        <f t="shared" ref="B32:I32" si="23">B85</f>
        <v>4410</v>
      </c>
      <c r="C32" s="41">
        <f t="shared" si="23"/>
        <v>4410</v>
      </c>
      <c r="D32" s="41">
        <f t="shared" si="23"/>
        <v>4410</v>
      </c>
      <c r="E32" s="41">
        <f t="shared" si="23"/>
        <v>5290</v>
      </c>
      <c r="F32" s="41">
        <f t="shared" si="23"/>
        <v>5290</v>
      </c>
      <c r="G32" s="41">
        <f t="shared" si="23"/>
        <v>5290</v>
      </c>
      <c r="H32" s="41">
        <f t="shared" si="23"/>
        <v>5290</v>
      </c>
      <c r="I32" s="41">
        <f t="shared" si="23"/>
        <v>4761</v>
      </c>
      <c r="J32" s="41">
        <f t="shared" ref="J32:M32" si="24">J85</f>
        <v>4232</v>
      </c>
      <c r="K32" s="41">
        <f t="shared" si="24"/>
        <v>4232</v>
      </c>
      <c r="L32" s="41">
        <f t="shared" si="24"/>
        <v>4232</v>
      </c>
      <c r="M32" s="41">
        <f t="shared" si="24"/>
        <v>0</v>
      </c>
    </row>
    <row r="33" spans="1:13" ht="15" customHeight="1">
      <c r="A33" s="102" t="s">
        <v>433</v>
      </c>
      <c r="B33" s="41">
        <f t="shared" ref="B33:I33" si="25">B736</f>
        <v>0</v>
      </c>
      <c r="C33" s="41">
        <f t="shared" si="25"/>
        <v>0</v>
      </c>
      <c r="D33" s="41">
        <f t="shared" si="25"/>
        <v>0</v>
      </c>
      <c r="E33" s="41">
        <f t="shared" si="25"/>
        <v>0</v>
      </c>
      <c r="F33" s="41">
        <f t="shared" si="25"/>
        <v>0</v>
      </c>
      <c r="G33" s="41">
        <f t="shared" si="25"/>
        <v>0</v>
      </c>
      <c r="H33" s="41">
        <f t="shared" si="25"/>
        <v>0</v>
      </c>
      <c r="I33" s="41">
        <f t="shared" si="25"/>
        <v>0</v>
      </c>
      <c r="J33" s="41">
        <f t="shared" ref="J33:M33" si="26">J736</f>
        <v>0</v>
      </c>
      <c r="K33" s="41">
        <f t="shared" si="26"/>
        <v>0</v>
      </c>
      <c r="L33" s="41">
        <f t="shared" si="26"/>
        <v>0</v>
      </c>
      <c r="M33" s="41">
        <f t="shared" si="26"/>
        <v>0</v>
      </c>
    </row>
    <row r="34" spans="1:13" ht="15" customHeight="1">
      <c r="A34" s="102" t="s">
        <v>370</v>
      </c>
      <c r="B34" s="41">
        <f t="shared" ref="B34:I34" si="27">B639</f>
        <v>0</v>
      </c>
      <c r="C34" s="41">
        <f t="shared" si="27"/>
        <v>0</v>
      </c>
      <c r="D34" s="41">
        <f t="shared" si="27"/>
        <v>0</v>
      </c>
      <c r="E34" s="41">
        <f t="shared" si="27"/>
        <v>0</v>
      </c>
      <c r="F34" s="41">
        <f t="shared" si="27"/>
        <v>0</v>
      </c>
      <c r="G34" s="41">
        <f t="shared" si="27"/>
        <v>0</v>
      </c>
      <c r="H34" s="41">
        <f t="shared" si="27"/>
        <v>0</v>
      </c>
      <c r="I34" s="41">
        <f t="shared" si="27"/>
        <v>0</v>
      </c>
      <c r="J34" s="41">
        <f t="shared" ref="J34:M34" si="28">J639</f>
        <v>0</v>
      </c>
      <c r="K34" s="41">
        <f t="shared" si="28"/>
        <v>0</v>
      </c>
      <c r="L34" s="41">
        <f t="shared" si="28"/>
        <v>0</v>
      </c>
      <c r="M34" s="41">
        <f t="shared" si="28"/>
        <v>0</v>
      </c>
    </row>
    <row r="35" spans="1:13" ht="15" customHeight="1">
      <c r="A35" s="121" t="s">
        <v>444</v>
      </c>
      <c r="B35" s="41">
        <f t="shared" ref="B35:I35" ca="1" si="29">+B646+B669</f>
        <v>48264.421584694348</v>
      </c>
      <c r="C35" s="41">
        <f t="shared" ca="1" si="29"/>
        <v>40787.302844865611</v>
      </c>
      <c r="D35" s="41">
        <f t="shared" ca="1" si="29"/>
        <v>39593.21641923031</v>
      </c>
      <c r="E35" s="41">
        <f t="shared" ca="1" si="29"/>
        <v>20998.105570350879</v>
      </c>
      <c r="F35" s="41">
        <f t="shared" ca="1" si="29"/>
        <v>20983.314109200146</v>
      </c>
      <c r="G35" s="41">
        <f t="shared" ca="1" si="29"/>
        <v>20978.96857640105</v>
      </c>
      <c r="H35" s="41">
        <f t="shared" ca="1" si="29"/>
        <v>20925.011821933811</v>
      </c>
      <c r="I35" s="41">
        <f t="shared" ca="1" si="29"/>
        <v>20657.328084749806</v>
      </c>
      <c r="J35" s="41">
        <f t="shared" ref="J35:M35" ca="1" si="30">+J646+J669</f>
        <v>3902.9282122129052</v>
      </c>
      <c r="K35" s="41">
        <f t="shared" ca="1" si="30"/>
        <v>3906.3210203996769</v>
      </c>
      <c r="L35" s="41">
        <f t="shared" ca="1" si="30"/>
        <v>3894.4654236249871</v>
      </c>
      <c r="M35" s="41">
        <f t="shared" ca="1" si="30"/>
        <v>2669.9340410545442</v>
      </c>
    </row>
    <row r="36" spans="1:13" ht="15" customHeight="1">
      <c r="A36" s="121" t="s">
        <v>424</v>
      </c>
      <c r="B36" s="41">
        <f t="shared" ref="B36:I36" si="31">+B675</f>
        <v>0</v>
      </c>
      <c r="C36" s="41">
        <f t="shared" si="31"/>
        <v>0</v>
      </c>
      <c r="D36" s="41">
        <f t="shared" si="31"/>
        <v>0</v>
      </c>
      <c r="E36" s="41">
        <f t="shared" si="31"/>
        <v>0</v>
      </c>
      <c r="F36" s="41">
        <f t="shared" si="31"/>
        <v>0</v>
      </c>
      <c r="G36" s="41">
        <f t="shared" si="31"/>
        <v>0</v>
      </c>
      <c r="H36" s="41">
        <f t="shared" si="31"/>
        <v>0</v>
      </c>
      <c r="I36" s="41">
        <f t="shared" si="31"/>
        <v>0</v>
      </c>
      <c r="J36" s="41">
        <f t="shared" ref="J36:M36" si="32">+J675</f>
        <v>0</v>
      </c>
      <c r="K36" s="41">
        <f t="shared" si="32"/>
        <v>0</v>
      </c>
      <c r="L36" s="41">
        <f t="shared" si="32"/>
        <v>0</v>
      </c>
      <c r="M36" s="41">
        <f t="shared" si="32"/>
        <v>0</v>
      </c>
    </row>
    <row r="37" spans="1:13" ht="15" customHeight="1">
      <c r="A37" s="121" t="s">
        <v>445</v>
      </c>
      <c r="B37" s="41">
        <f t="shared" ref="B37:I37" si="33">+B699</f>
        <v>0</v>
      </c>
      <c r="C37" s="41">
        <f t="shared" si="33"/>
        <v>0</v>
      </c>
      <c r="D37" s="41">
        <f t="shared" si="33"/>
        <v>0</v>
      </c>
      <c r="E37" s="41">
        <f t="shared" si="33"/>
        <v>0</v>
      </c>
      <c r="F37" s="41">
        <f t="shared" si="33"/>
        <v>0</v>
      </c>
      <c r="G37" s="41">
        <f t="shared" si="33"/>
        <v>0</v>
      </c>
      <c r="H37" s="41">
        <f t="shared" si="33"/>
        <v>0</v>
      </c>
      <c r="I37" s="41">
        <f t="shared" si="33"/>
        <v>0</v>
      </c>
      <c r="J37" s="41">
        <f t="shared" ref="J37:M37" si="34">+J699</f>
        <v>0</v>
      </c>
      <c r="K37" s="41">
        <f t="shared" si="34"/>
        <v>0</v>
      </c>
      <c r="L37" s="41">
        <f t="shared" si="34"/>
        <v>0</v>
      </c>
      <c r="M37" s="41">
        <f t="shared" si="34"/>
        <v>0</v>
      </c>
    </row>
    <row r="38" spans="1:13" ht="15" customHeight="1">
      <c r="A38" s="104"/>
      <c r="B38" s="50"/>
      <c r="C38" s="50"/>
      <c r="D38" s="50"/>
      <c r="E38" s="50"/>
      <c r="F38" s="50"/>
      <c r="G38" s="50"/>
      <c r="H38" s="50"/>
      <c r="I38" s="50"/>
      <c r="J38" s="50"/>
      <c r="K38" s="50"/>
      <c r="L38" s="50"/>
      <c r="M38" s="50"/>
    </row>
    <row r="39" spans="1:13" ht="15" customHeight="1">
      <c r="A39" s="102" t="s">
        <v>9</v>
      </c>
      <c r="B39" s="41">
        <f t="shared" ref="B39:I39" ca="1" si="35">B64</f>
        <v>611824.76980965026</v>
      </c>
      <c r="C39" s="41">
        <f t="shared" ca="1" si="35"/>
        <v>574035.91646777536</v>
      </c>
      <c r="D39" s="41">
        <f t="shared" ca="1" si="35"/>
        <v>518370.98632747924</v>
      </c>
      <c r="E39" s="41">
        <f t="shared" ca="1" si="35"/>
        <v>466944.67026683548</v>
      </c>
      <c r="F39" s="41">
        <f t="shared" ca="1" si="35"/>
        <v>479114.26349221275</v>
      </c>
      <c r="G39" s="41">
        <f t="shared" ca="1" si="35"/>
        <v>471486.14746490947</v>
      </c>
      <c r="H39" s="41">
        <f t="shared" ca="1" si="35"/>
        <v>431063.79853165708</v>
      </c>
      <c r="I39" s="41">
        <f t="shared" ca="1" si="35"/>
        <v>452656.10551020573</v>
      </c>
      <c r="J39" s="41">
        <f t="shared" ref="J39:M39" ca="1" si="36">J64</f>
        <v>429027.76140320243</v>
      </c>
      <c r="K39" s="41">
        <f t="shared" ca="1" si="36"/>
        <v>427804.09381574031</v>
      </c>
      <c r="L39" s="41">
        <f t="shared" ca="1" si="36"/>
        <v>457054.1610230566</v>
      </c>
      <c r="M39" s="41">
        <f t="shared" ca="1" si="36"/>
        <v>509740.88598042994</v>
      </c>
    </row>
    <row r="40" spans="1:13" ht="15" customHeight="1">
      <c r="A40" s="102"/>
      <c r="B40" s="41"/>
      <c r="C40" s="41"/>
      <c r="D40" s="41"/>
      <c r="E40" s="41"/>
      <c r="F40" s="41"/>
      <c r="G40" s="41"/>
      <c r="H40" s="41"/>
      <c r="I40" s="41"/>
      <c r="J40" s="41"/>
      <c r="K40" s="41"/>
      <c r="L40" s="41"/>
      <c r="M40" s="41"/>
    </row>
    <row r="42" spans="1:13" ht="15" customHeight="1">
      <c r="A42" s="23" t="s">
        <v>456</v>
      </c>
      <c r="B42" s="26"/>
      <c r="C42" s="26"/>
      <c r="D42" s="26"/>
      <c r="E42" s="26"/>
      <c r="F42" s="26"/>
      <c r="G42" s="26"/>
      <c r="H42" s="26"/>
      <c r="I42" s="26"/>
      <c r="J42" s="26"/>
      <c r="K42" s="26"/>
      <c r="L42" s="26"/>
      <c r="M42" s="26"/>
    </row>
    <row r="43" spans="1:13" ht="15" customHeight="1">
      <c r="A43" s="3" t="s">
        <v>452</v>
      </c>
      <c r="B43" s="13">
        <f t="shared" ref="B43:I43" ca="1" si="37">+B44+B45+B46</f>
        <v>0</v>
      </c>
      <c r="C43" s="13">
        <f t="shared" ca="1" si="37"/>
        <v>0</v>
      </c>
      <c r="D43" s="13">
        <f t="shared" ca="1" si="37"/>
        <v>0</v>
      </c>
      <c r="E43" s="13">
        <f t="shared" ca="1" si="37"/>
        <v>0</v>
      </c>
      <c r="F43" s="13">
        <f t="shared" ca="1" si="37"/>
        <v>0</v>
      </c>
      <c r="G43" s="13">
        <f t="shared" ca="1" si="37"/>
        <v>0</v>
      </c>
      <c r="H43" s="13">
        <f t="shared" ca="1" si="37"/>
        <v>0</v>
      </c>
      <c r="I43" s="13">
        <f t="shared" ca="1" si="37"/>
        <v>0</v>
      </c>
      <c r="J43" s="13">
        <f t="shared" ref="J43:M43" ca="1" si="38">+J44+J45+J46</f>
        <v>0</v>
      </c>
      <c r="K43" s="13">
        <f t="shared" ca="1" si="38"/>
        <v>0</v>
      </c>
      <c r="L43" s="13">
        <f t="shared" ca="1" si="38"/>
        <v>0</v>
      </c>
      <c r="M43" s="13">
        <f t="shared" ca="1" si="38"/>
        <v>0</v>
      </c>
    </row>
    <row r="44" spans="1:13" ht="15" customHeight="1">
      <c r="A44" s="3" t="s">
        <v>453</v>
      </c>
      <c r="B44" s="41">
        <f t="shared" ref="B44:I44" si="39">(0+B48)-B53*B49*(0+B48)</f>
        <v>0</v>
      </c>
      <c r="C44" s="41">
        <f t="shared" si="39"/>
        <v>0</v>
      </c>
      <c r="D44" s="41">
        <f t="shared" si="39"/>
        <v>0</v>
      </c>
      <c r="E44" s="41">
        <f t="shared" si="39"/>
        <v>0</v>
      </c>
      <c r="F44" s="41">
        <f t="shared" si="39"/>
        <v>0</v>
      </c>
      <c r="G44" s="41">
        <f t="shared" si="39"/>
        <v>0</v>
      </c>
      <c r="H44" s="41">
        <f t="shared" si="39"/>
        <v>0</v>
      </c>
      <c r="I44" s="41">
        <f t="shared" si="39"/>
        <v>0</v>
      </c>
      <c r="J44" s="41">
        <f t="shared" ref="J44:M44" si="40">(0+J48)-J53*J49*(0+J48)</f>
        <v>0</v>
      </c>
      <c r="K44" s="41">
        <f t="shared" si="40"/>
        <v>0</v>
      </c>
      <c r="L44" s="41">
        <f t="shared" si="40"/>
        <v>0</v>
      </c>
      <c r="M44" s="41">
        <f t="shared" si="40"/>
        <v>0</v>
      </c>
    </row>
    <row r="45" spans="1:13" ht="15" customHeight="1">
      <c r="A45" s="3" t="s">
        <v>454</v>
      </c>
      <c r="B45" s="41">
        <f t="shared" ref="B45:I45" si="41">B51-B53*B52*B51</f>
        <v>0</v>
      </c>
      <c r="C45" s="41">
        <f t="shared" si="41"/>
        <v>0</v>
      </c>
      <c r="D45" s="41">
        <f t="shared" si="41"/>
        <v>0</v>
      </c>
      <c r="E45" s="41">
        <f t="shared" si="41"/>
        <v>0</v>
      </c>
      <c r="F45" s="41">
        <f t="shared" si="41"/>
        <v>0</v>
      </c>
      <c r="G45" s="41">
        <f t="shared" si="41"/>
        <v>0</v>
      </c>
      <c r="H45" s="41">
        <f t="shared" si="41"/>
        <v>0</v>
      </c>
      <c r="I45" s="41">
        <f t="shared" si="41"/>
        <v>0</v>
      </c>
      <c r="J45" s="41">
        <f t="shared" ref="J45:M45" si="42">J51-J53*J52*J51</f>
        <v>0</v>
      </c>
      <c r="K45" s="41">
        <f t="shared" si="42"/>
        <v>0</v>
      </c>
      <c r="L45" s="41">
        <f t="shared" si="42"/>
        <v>0</v>
      </c>
      <c r="M45" s="41">
        <f t="shared" si="42"/>
        <v>0</v>
      </c>
    </row>
    <row r="46" spans="1:13" ht="15" customHeight="1">
      <c r="A46" s="3" t="s">
        <v>455</v>
      </c>
      <c r="B46" s="41">
        <f t="shared" ref="B46:I46" ca="1" si="43">IF(B56="Forever",B60*B55/(B59-B58),B60*B55*(1-(1+B58)^B56/(1+B59)^(B56))/(B59-B58))</f>
        <v>0</v>
      </c>
      <c r="C46" s="41">
        <f t="shared" ca="1" si="43"/>
        <v>0</v>
      </c>
      <c r="D46" s="41">
        <f t="shared" ca="1" si="43"/>
        <v>0</v>
      </c>
      <c r="E46" s="41">
        <f t="shared" ca="1" si="43"/>
        <v>0</v>
      </c>
      <c r="F46" s="41">
        <f t="shared" ca="1" si="43"/>
        <v>0</v>
      </c>
      <c r="G46" s="41">
        <f t="shared" ca="1" si="43"/>
        <v>0</v>
      </c>
      <c r="H46" s="41">
        <f t="shared" ca="1" si="43"/>
        <v>0</v>
      </c>
      <c r="I46" s="41">
        <f t="shared" ca="1" si="43"/>
        <v>0</v>
      </c>
      <c r="J46" s="41">
        <f t="shared" ref="J46:M46" ca="1" si="44">IF(J56="Forever",J60*J55/(J59-J58),J60*J55*(1-(1+J58)^J56/(1+J59)^(J56))/(J59-J58))</f>
        <v>0</v>
      </c>
      <c r="K46" s="41">
        <f t="shared" ca="1" si="44"/>
        <v>0</v>
      </c>
      <c r="L46" s="41">
        <f t="shared" ca="1" si="44"/>
        <v>0</v>
      </c>
      <c r="M46" s="41">
        <f t="shared" ca="1" si="44"/>
        <v>0</v>
      </c>
    </row>
    <row r="47" spans="1:13" ht="15" customHeight="1">
      <c r="A47" s="1"/>
    </row>
    <row r="48" spans="1:13" ht="15" customHeight="1">
      <c r="A48" s="3" t="s">
        <v>447</v>
      </c>
      <c r="B48" s="41">
        <f t="shared" ref="B48:I49" si="45">B771</f>
        <v>0</v>
      </c>
      <c r="C48" s="41">
        <f t="shared" si="45"/>
        <v>0</v>
      </c>
      <c r="D48" s="41">
        <f t="shared" si="45"/>
        <v>0</v>
      </c>
      <c r="E48" s="41">
        <f t="shared" si="45"/>
        <v>0</v>
      </c>
      <c r="F48" s="41">
        <f t="shared" si="45"/>
        <v>0</v>
      </c>
      <c r="G48" s="41">
        <f t="shared" si="45"/>
        <v>0</v>
      </c>
      <c r="H48" s="41">
        <f t="shared" si="45"/>
        <v>0</v>
      </c>
      <c r="I48" s="41">
        <f t="shared" si="45"/>
        <v>0</v>
      </c>
      <c r="J48" s="41">
        <f t="shared" ref="J48:M48" si="46">J771</f>
        <v>0</v>
      </c>
      <c r="K48" s="41">
        <f t="shared" si="46"/>
        <v>0</v>
      </c>
      <c r="L48" s="41">
        <f t="shared" si="46"/>
        <v>0</v>
      </c>
      <c r="M48" s="41">
        <f t="shared" si="46"/>
        <v>0</v>
      </c>
    </row>
    <row r="49" spans="1:13" ht="15" customHeight="1">
      <c r="A49" s="3" t="s">
        <v>446</v>
      </c>
      <c r="B49" s="25">
        <f t="shared" si="45"/>
        <v>0</v>
      </c>
      <c r="C49" s="25">
        <f t="shared" si="45"/>
        <v>0</v>
      </c>
      <c r="D49" s="25">
        <f t="shared" si="45"/>
        <v>0</v>
      </c>
      <c r="E49" s="25">
        <f t="shared" si="45"/>
        <v>0</v>
      </c>
      <c r="F49" s="25">
        <f t="shared" si="45"/>
        <v>0</v>
      </c>
      <c r="G49" s="25">
        <f t="shared" si="45"/>
        <v>0</v>
      </c>
      <c r="H49" s="25">
        <f t="shared" si="45"/>
        <v>0</v>
      </c>
      <c r="I49" s="25">
        <f t="shared" si="45"/>
        <v>0</v>
      </c>
      <c r="J49" s="25">
        <f t="shared" ref="J49:M49" si="47">J772</f>
        <v>0</v>
      </c>
      <c r="K49" s="25">
        <f t="shared" si="47"/>
        <v>0</v>
      </c>
      <c r="L49" s="25">
        <f t="shared" si="47"/>
        <v>0</v>
      </c>
      <c r="M49" s="25">
        <f t="shared" si="47"/>
        <v>0</v>
      </c>
    </row>
    <row r="51" spans="1:13" ht="15" customHeight="1">
      <c r="A51" s="3" t="s">
        <v>448</v>
      </c>
      <c r="B51" s="41">
        <f t="shared" ref="B51:I52" si="48">B774</f>
        <v>0</v>
      </c>
      <c r="C51" s="41">
        <f t="shared" si="48"/>
        <v>0</v>
      </c>
      <c r="D51" s="41">
        <f t="shared" si="48"/>
        <v>0</v>
      </c>
      <c r="E51" s="41">
        <f t="shared" si="48"/>
        <v>0</v>
      </c>
      <c r="F51" s="41">
        <f t="shared" si="48"/>
        <v>0</v>
      </c>
      <c r="G51" s="41">
        <f t="shared" si="48"/>
        <v>0</v>
      </c>
      <c r="H51" s="41">
        <f t="shared" si="48"/>
        <v>0</v>
      </c>
      <c r="I51" s="41">
        <f t="shared" si="48"/>
        <v>0</v>
      </c>
      <c r="J51" s="41">
        <f t="shared" ref="J51:M51" si="49">J774</f>
        <v>0</v>
      </c>
      <c r="K51" s="41">
        <f t="shared" si="49"/>
        <v>0</v>
      </c>
      <c r="L51" s="41">
        <f t="shared" si="49"/>
        <v>0</v>
      </c>
      <c r="M51" s="41">
        <f t="shared" si="49"/>
        <v>0</v>
      </c>
    </row>
    <row r="52" spans="1:13" ht="15" customHeight="1">
      <c r="A52" s="3" t="s">
        <v>446</v>
      </c>
      <c r="B52" s="25">
        <f t="shared" si="48"/>
        <v>0</v>
      </c>
      <c r="C52" s="25">
        <f t="shared" si="48"/>
        <v>0</v>
      </c>
      <c r="D52" s="25">
        <f t="shared" si="48"/>
        <v>0</v>
      </c>
      <c r="E52" s="25">
        <f t="shared" si="48"/>
        <v>0</v>
      </c>
      <c r="F52" s="25">
        <f t="shared" si="48"/>
        <v>0</v>
      </c>
      <c r="G52" s="25">
        <f t="shared" si="48"/>
        <v>0</v>
      </c>
      <c r="H52" s="25">
        <f t="shared" si="48"/>
        <v>0</v>
      </c>
      <c r="I52" s="25">
        <f t="shared" si="48"/>
        <v>0</v>
      </c>
      <c r="J52" s="25">
        <f t="shared" ref="J52:M52" si="50">J775</f>
        <v>0</v>
      </c>
      <c r="K52" s="25">
        <f t="shared" si="50"/>
        <v>0</v>
      </c>
      <c r="L52" s="25">
        <f t="shared" si="50"/>
        <v>0</v>
      </c>
      <c r="M52" s="25">
        <f t="shared" si="50"/>
        <v>0</v>
      </c>
    </row>
    <row r="53" spans="1:13" ht="15" customHeight="1">
      <c r="A53" s="3" t="s">
        <v>381</v>
      </c>
      <c r="B53" s="123">
        <f t="shared" ref="B53:M53" si="51">B$547</f>
        <v>0.36</v>
      </c>
      <c r="C53" s="123">
        <f t="shared" si="51"/>
        <v>0.36</v>
      </c>
      <c r="D53" s="123">
        <f t="shared" si="51"/>
        <v>0.36</v>
      </c>
      <c r="E53" s="123">
        <f t="shared" si="51"/>
        <v>0.38</v>
      </c>
      <c r="F53" s="123">
        <f t="shared" si="51"/>
        <v>0.38</v>
      </c>
      <c r="G53" s="123">
        <f t="shared" si="51"/>
        <v>0.38</v>
      </c>
      <c r="H53" s="123">
        <f t="shared" si="51"/>
        <v>0.38</v>
      </c>
      <c r="I53" s="123">
        <f t="shared" si="51"/>
        <v>0.38</v>
      </c>
      <c r="J53" s="123">
        <f t="shared" si="51"/>
        <v>0.38</v>
      </c>
      <c r="K53" s="123">
        <f t="shared" si="51"/>
        <v>0.38</v>
      </c>
      <c r="L53" s="123">
        <f t="shared" si="51"/>
        <v>0.38</v>
      </c>
      <c r="M53" s="123">
        <f t="shared" si="51"/>
        <v>0.35</v>
      </c>
    </row>
    <row r="54" spans="1:13" ht="15" customHeight="1">
      <c r="A54" s="1"/>
    </row>
    <row r="55" spans="1:13" ht="15" customHeight="1">
      <c r="A55" s="3" t="s">
        <v>449</v>
      </c>
      <c r="B55" s="25">
        <f t="shared" ref="B55:I55" si="52">B777</f>
        <v>0</v>
      </c>
      <c r="C55" s="25">
        <f t="shared" si="52"/>
        <v>0</v>
      </c>
      <c r="D55" s="25">
        <f t="shared" si="52"/>
        <v>0</v>
      </c>
      <c r="E55" s="25">
        <f t="shared" si="52"/>
        <v>0</v>
      </c>
      <c r="F55" s="25">
        <f t="shared" si="52"/>
        <v>0</v>
      </c>
      <c r="G55" s="25">
        <f t="shared" si="52"/>
        <v>0</v>
      </c>
      <c r="H55" s="25">
        <f t="shared" si="52"/>
        <v>0</v>
      </c>
      <c r="I55" s="25">
        <f t="shared" si="52"/>
        <v>0</v>
      </c>
      <c r="J55" s="25">
        <f t="shared" ref="J55:M55" si="53">J777</f>
        <v>0</v>
      </c>
      <c r="K55" s="25">
        <f t="shared" si="53"/>
        <v>0</v>
      </c>
      <c r="L55" s="25">
        <f t="shared" si="53"/>
        <v>0</v>
      </c>
      <c r="M55" s="25">
        <f t="shared" si="53"/>
        <v>0</v>
      </c>
    </row>
    <row r="56" spans="1:13" ht="15" customHeight="1">
      <c r="A56" s="3" t="s">
        <v>450</v>
      </c>
      <c r="B56" s="107">
        <f t="shared" ref="B56:I56" si="54">+B778</f>
        <v>3</v>
      </c>
      <c r="C56" s="107">
        <f t="shared" si="54"/>
        <v>3</v>
      </c>
      <c r="D56" s="107">
        <f t="shared" si="54"/>
        <v>3</v>
      </c>
      <c r="E56" s="107">
        <f t="shared" si="54"/>
        <v>3</v>
      </c>
      <c r="F56" s="107">
        <f t="shared" si="54"/>
        <v>3</v>
      </c>
      <c r="G56" s="107">
        <f t="shared" si="54"/>
        <v>3</v>
      </c>
      <c r="H56" s="107">
        <f t="shared" si="54"/>
        <v>3</v>
      </c>
      <c r="I56" s="107">
        <f t="shared" si="54"/>
        <v>3</v>
      </c>
      <c r="J56" s="107">
        <f t="shared" ref="J56:M56" si="55">+J778</f>
        <v>3</v>
      </c>
      <c r="K56" s="107">
        <f t="shared" si="55"/>
        <v>3</v>
      </c>
      <c r="L56" s="107">
        <f t="shared" si="55"/>
        <v>3</v>
      </c>
      <c r="M56" s="107">
        <f t="shared" si="55"/>
        <v>3</v>
      </c>
    </row>
    <row r="57" spans="1:13" ht="15" customHeight="1">
      <c r="A57" s="104"/>
      <c r="B57" s="50"/>
      <c r="C57" s="50"/>
      <c r="D57" s="50"/>
      <c r="E57" s="50"/>
      <c r="F57" s="50"/>
      <c r="G57" s="50"/>
      <c r="H57" s="50"/>
      <c r="I57" s="50"/>
      <c r="J57" s="50"/>
      <c r="K57" s="50"/>
      <c r="L57" s="50"/>
      <c r="M57" s="50"/>
    </row>
    <row r="58" spans="1:13" ht="15" customHeight="1">
      <c r="A58" s="3" t="s">
        <v>451</v>
      </c>
      <c r="B58" s="17">
        <f t="shared" ref="B58:M58" ca="1" si="56">B$179</f>
        <v>1.5613299587391216E-2</v>
      </c>
      <c r="C58" s="17">
        <f t="shared" ca="1" si="56"/>
        <v>1.7288444510881851E-2</v>
      </c>
      <c r="D58" s="17">
        <f t="shared" ca="1" si="56"/>
        <v>1.9349288023805089E-2</v>
      </c>
      <c r="E58" s="17">
        <f t="shared" ca="1" si="56"/>
        <v>1.9713322206589279E-2</v>
      </c>
      <c r="F58" s="17">
        <f t="shared" ca="1" si="56"/>
        <v>2.0493572496813162E-2</v>
      </c>
      <c r="G58" s="17">
        <f t="shared" ca="1" si="56"/>
        <v>2.1627355521506519E-2</v>
      </c>
      <c r="H58" s="17">
        <f t="shared" ca="1" si="56"/>
        <v>2.041415155992099E-2</v>
      </c>
      <c r="I58" s="17">
        <f t="shared" ca="1" si="56"/>
        <v>2.8974178307822784E-2</v>
      </c>
      <c r="J58" s="17">
        <f t="shared" ca="1" si="56"/>
        <v>2.6810892581872414E-2</v>
      </c>
      <c r="K58" s="17">
        <f t="shared" ca="1" si="56"/>
        <v>2.1643949523819206E-2</v>
      </c>
      <c r="L58" s="17">
        <f t="shared" ca="1" si="56"/>
        <v>4.3048479313697596E-2</v>
      </c>
      <c r="M58" s="17">
        <f t="shared" ca="1" si="56"/>
        <v>7.6757094789344338E-2</v>
      </c>
    </row>
    <row r="59" spans="1:13" ht="15" customHeight="1">
      <c r="A59" s="3" t="s">
        <v>33</v>
      </c>
      <c r="B59" s="17">
        <f t="shared" ref="B59:M59" ca="1" si="57">B$221</f>
        <v>8.5616478250876329E-2</v>
      </c>
      <c r="C59" s="17">
        <f t="shared" ca="1" si="57"/>
        <v>8.6399225155159756E-2</v>
      </c>
      <c r="D59" s="17">
        <f t="shared" ca="1" si="57"/>
        <v>9.239676427316143E-2</v>
      </c>
      <c r="E59" s="17">
        <f t="shared" ca="1" si="57"/>
        <v>0.10740672303923111</v>
      </c>
      <c r="F59" s="17">
        <f t="shared" ca="1" si="57"/>
        <v>0.10008009908896695</v>
      </c>
      <c r="G59" s="17">
        <f t="shared" ca="1" si="57"/>
        <v>0.10029247285368061</v>
      </c>
      <c r="H59" s="17">
        <f t="shared" ca="1" si="57"/>
        <v>0.10154649937414874</v>
      </c>
      <c r="I59" s="17">
        <f t="shared" ca="1" si="57"/>
        <v>0.11800171037140457</v>
      </c>
      <c r="J59" s="17">
        <f t="shared" ca="1" si="57"/>
        <v>0.11667035007978127</v>
      </c>
      <c r="K59" s="17">
        <f t="shared" ca="1" si="57"/>
        <v>0.1167052809580631</v>
      </c>
      <c r="L59" s="17">
        <f t="shared" ca="1" si="57"/>
        <v>0.12481249198950628</v>
      </c>
      <c r="M59" s="17">
        <f t="shared" ca="1" si="57"/>
        <v>0.12366717322736231</v>
      </c>
    </row>
    <row r="60" spans="1:13" ht="15" customHeight="1">
      <c r="A60" s="3" t="s">
        <v>458</v>
      </c>
      <c r="B60" s="41">
        <f t="shared" ref="B60:M60" ca="1" si="58">B$304</f>
        <v>50644.898104646651</v>
      </c>
      <c r="C60" s="41">
        <f t="shared" ca="1" si="58"/>
        <v>47175.51838509657</v>
      </c>
      <c r="D60" s="41">
        <f t="shared" ca="1" si="58"/>
        <v>42084.889121103304</v>
      </c>
      <c r="E60" s="41">
        <f t="shared" ca="1" si="58"/>
        <v>40827.201880171539</v>
      </c>
      <c r="F60" s="41">
        <f t="shared" ca="1" si="58"/>
        <v>40025.278835589001</v>
      </c>
      <c r="G60" s="41">
        <f t="shared" ca="1" si="58"/>
        <v>38997.61952375406</v>
      </c>
      <c r="H60" s="41">
        <f t="shared" ca="1" si="58"/>
        <v>38875.506646187736</v>
      </c>
      <c r="I60" s="41">
        <f t="shared" ca="1" si="58"/>
        <v>39075.707650440927</v>
      </c>
      <c r="J60" s="41">
        <f t="shared" ca="1" si="58"/>
        <v>40146.259236972961</v>
      </c>
      <c r="K60" s="41">
        <f t="shared" ca="1" si="58"/>
        <v>41741.339345399589</v>
      </c>
      <c r="L60" s="41">
        <f t="shared" ca="1" si="58"/>
        <v>41828.339972911832</v>
      </c>
      <c r="M60" s="41">
        <f t="shared" ca="1" si="58"/>
        <v>39947.582396291626</v>
      </c>
    </row>
    <row r="61" spans="1:13" ht="15" customHeight="1">
      <c r="B61" s="124"/>
      <c r="C61" s="124"/>
      <c r="D61" s="124"/>
      <c r="E61" s="124"/>
      <c r="F61" s="124"/>
      <c r="G61" s="124"/>
      <c r="H61" s="124"/>
      <c r="I61" s="124"/>
      <c r="J61" s="124"/>
      <c r="K61" s="124"/>
      <c r="L61" s="124"/>
      <c r="M61" s="124"/>
    </row>
    <row r="62" spans="1:13" ht="15" customHeight="1">
      <c r="A62" s="23" t="s">
        <v>367</v>
      </c>
      <c r="B62" s="26"/>
      <c r="C62" s="26"/>
      <c r="D62" s="26"/>
      <c r="E62" s="26"/>
      <c r="F62" s="26"/>
      <c r="G62" s="26"/>
      <c r="H62" s="26"/>
      <c r="I62" s="26"/>
      <c r="J62" s="26"/>
      <c r="K62" s="26"/>
      <c r="L62" s="26"/>
      <c r="M62" s="26"/>
    </row>
    <row r="63" spans="1:13" ht="15" customHeight="1">
      <c r="A63" s="3" t="s">
        <v>392</v>
      </c>
      <c r="B63" s="107" t="str">
        <f t="shared" ref="B63:I63" si="59">B782</f>
        <v>Yes</v>
      </c>
      <c r="C63" s="107" t="str">
        <f t="shared" si="59"/>
        <v>Yes</v>
      </c>
      <c r="D63" s="107" t="str">
        <f t="shared" si="59"/>
        <v>Yes</v>
      </c>
      <c r="E63" s="107" t="str">
        <f t="shared" si="59"/>
        <v>Yes</v>
      </c>
      <c r="F63" s="107" t="str">
        <f t="shared" si="59"/>
        <v>Yes</v>
      </c>
      <c r="G63" s="107" t="str">
        <f t="shared" si="59"/>
        <v>Yes</v>
      </c>
      <c r="H63" s="107" t="str">
        <f t="shared" si="59"/>
        <v>Yes</v>
      </c>
      <c r="I63" s="107" t="str">
        <f t="shared" si="59"/>
        <v>Yes</v>
      </c>
      <c r="J63" s="107" t="str">
        <f t="shared" ref="J63:M63" si="60">J782</f>
        <v>Yes</v>
      </c>
      <c r="K63" s="107" t="str">
        <f t="shared" si="60"/>
        <v>Yes</v>
      </c>
      <c r="L63" s="107" t="str">
        <f t="shared" si="60"/>
        <v>Yes</v>
      </c>
      <c r="M63" s="107" t="str">
        <f t="shared" si="60"/>
        <v>Yes</v>
      </c>
    </row>
    <row r="64" spans="1:13" ht="15" customHeight="1">
      <c r="A64" s="102" t="s">
        <v>9</v>
      </c>
      <c r="B64" s="13">
        <f t="shared" ref="B64:I64" ca="1" si="61">IF(B63="Yes",B91,B91*(1-B65)+B67*B65)</f>
        <v>611824.76980965026</v>
      </c>
      <c r="C64" s="13">
        <f t="shared" ca="1" si="61"/>
        <v>574035.91646777536</v>
      </c>
      <c r="D64" s="13">
        <f t="shared" ca="1" si="61"/>
        <v>518370.98632747924</v>
      </c>
      <c r="E64" s="13">
        <f t="shared" ca="1" si="61"/>
        <v>466944.67026683548</v>
      </c>
      <c r="F64" s="13">
        <f t="shared" ca="1" si="61"/>
        <v>479114.26349221275</v>
      </c>
      <c r="G64" s="13">
        <f t="shared" ca="1" si="61"/>
        <v>471486.14746490947</v>
      </c>
      <c r="H64" s="13">
        <f t="shared" ca="1" si="61"/>
        <v>431063.79853165708</v>
      </c>
      <c r="I64" s="13">
        <f t="shared" ca="1" si="61"/>
        <v>452656.10551020573</v>
      </c>
      <c r="J64" s="13">
        <f t="shared" ref="J64:M64" ca="1" si="62">IF(J63="Yes",J91,J91*(1-J65)+J67*J65)</f>
        <v>429027.76140320243</v>
      </c>
      <c r="K64" s="13">
        <f t="shared" ca="1" si="62"/>
        <v>427804.09381574031</v>
      </c>
      <c r="L64" s="13">
        <f t="shared" ca="1" si="62"/>
        <v>457054.1610230566</v>
      </c>
      <c r="M64" s="13">
        <f t="shared" ca="1" si="62"/>
        <v>509740.88598042994</v>
      </c>
    </row>
    <row r="65" spans="1:13" ht="15" customHeight="1">
      <c r="A65" s="102" t="s">
        <v>367</v>
      </c>
      <c r="B65" s="108">
        <f t="shared" ref="B65:I65" si="63">IF(B63="Yes",0,B783)</f>
        <v>0</v>
      </c>
      <c r="C65" s="108">
        <f t="shared" si="63"/>
        <v>0</v>
      </c>
      <c r="D65" s="108">
        <f t="shared" si="63"/>
        <v>0</v>
      </c>
      <c r="E65" s="108">
        <f t="shared" si="63"/>
        <v>0</v>
      </c>
      <c r="F65" s="108">
        <f t="shared" si="63"/>
        <v>0</v>
      </c>
      <c r="G65" s="108">
        <f t="shared" si="63"/>
        <v>0</v>
      </c>
      <c r="H65" s="108">
        <f t="shared" si="63"/>
        <v>0</v>
      </c>
      <c r="I65" s="108">
        <f t="shared" si="63"/>
        <v>0</v>
      </c>
      <c r="J65" s="108">
        <f t="shared" ref="J65:M65" si="64">IF(J63="Yes",0,J783)</f>
        <v>0</v>
      </c>
      <c r="K65" s="108">
        <f t="shared" si="64"/>
        <v>0</v>
      </c>
      <c r="L65" s="108">
        <f t="shared" si="64"/>
        <v>0</v>
      </c>
      <c r="M65" s="108">
        <f t="shared" si="64"/>
        <v>0</v>
      </c>
    </row>
    <row r="66" spans="1:13" ht="15" customHeight="1">
      <c r="A66" s="102"/>
      <c r="B66" s="108"/>
      <c r="C66" s="108"/>
      <c r="D66" s="108"/>
      <c r="E66" s="108"/>
      <c r="F66" s="108"/>
      <c r="G66" s="108"/>
      <c r="H66" s="108"/>
      <c r="I66" s="108"/>
      <c r="J66" s="108"/>
      <c r="K66" s="108"/>
      <c r="L66" s="108"/>
      <c r="M66" s="108"/>
    </row>
    <row r="67" spans="1:13" ht="15" customHeight="1">
      <c r="A67" s="102" t="s">
        <v>369</v>
      </c>
      <c r="B67" s="41">
        <f t="shared" ref="B67:I67" si="65">IF(B63="Yes",0,B70*B68)</f>
        <v>0</v>
      </c>
      <c r="C67" s="41">
        <f t="shared" si="65"/>
        <v>0</v>
      </c>
      <c r="D67" s="41">
        <f t="shared" si="65"/>
        <v>0</v>
      </c>
      <c r="E67" s="41">
        <f t="shared" si="65"/>
        <v>0</v>
      </c>
      <c r="F67" s="41">
        <f t="shared" si="65"/>
        <v>0</v>
      </c>
      <c r="G67" s="41">
        <f t="shared" si="65"/>
        <v>0</v>
      </c>
      <c r="H67" s="41">
        <f t="shared" si="65"/>
        <v>0</v>
      </c>
      <c r="I67" s="41">
        <f t="shared" si="65"/>
        <v>0</v>
      </c>
      <c r="J67" s="41">
        <f t="shared" ref="J67:M67" si="66">IF(J63="Yes",0,J70*J68)</f>
        <v>0</v>
      </c>
      <c r="K67" s="41">
        <f t="shared" si="66"/>
        <v>0</v>
      </c>
      <c r="L67" s="41">
        <f t="shared" si="66"/>
        <v>0</v>
      </c>
      <c r="M67" s="41">
        <f t="shared" si="66"/>
        <v>0</v>
      </c>
    </row>
    <row r="68" spans="1:13" ht="15" customHeight="1">
      <c r="A68" s="102" t="s">
        <v>393</v>
      </c>
      <c r="B68" s="108">
        <f t="shared" ref="B68:I68" si="67">IF(B63="Yes",0,B784)</f>
        <v>0</v>
      </c>
      <c r="C68" s="108">
        <f t="shared" si="67"/>
        <v>0</v>
      </c>
      <c r="D68" s="108">
        <f t="shared" si="67"/>
        <v>0</v>
      </c>
      <c r="E68" s="108">
        <f t="shared" si="67"/>
        <v>0</v>
      </c>
      <c r="F68" s="108">
        <f t="shared" si="67"/>
        <v>0</v>
      </c>
      <c r="G68" s="108">
        <f t="shared" si="67"/>
        <v>0</v>
      </c>
      <c r="H68" s="108">
        <f t="shared" si="67"/>
        <v>0</v>
      </c>
      <c r="I68" s="108">
        <f t="shared" si="67"/>
        <v>0</v>
      </c>
      <c r="J68" s="108">
        <f t="shared" ref="J68:M68" si="68">IF(J63="Yes",0,J784)</f>
        <v>0</v>
      </c>
      <c r="K68" s="108">
        <f t="shared" si="68"/>
        <v>0</v>
      </c>
      <c r="L68" s="108">
        <f t="shared" si="68"/>
        <v>0</v>
      </c>
      <c r="M68" s="108">
        <f t="shared" si="68"/>
        <v>0</v>
      </c>
    </row>
    <row r="69" spans="1:13" ht="15" customHeight="1">
      <c r="A69" s="102"/>
      <c r="B69" s="108"/>
      <c r="C69" s="108"/>
      <c r="D69" s="108"/>
      <c r="E69" s="108"/>
      <c r="F69" s="108"/>
      <c r="G69" s="108"/>
      <c r="H69" s="108"/>
      <c r="I69" s="108"/>
      <c r="J69" s="108"/>
      <c r="K69" s="108"/>
      <c r="L69" s="108"/>
      <c r="M69" s="108"/>
    </row>
    <row r="70" spans="1:13" ht="15" customHeight="1">
      <c r="A70" s="3" t="s">
        <v>9</v>
      </c>
      <c r="B70" s="41">
        <f t="shared" ref="B70:I70" si="69">IF(B63="Yes",0,CHOOSE(B71,B595,B585,B570,B91))</f>
        <v>0</v>
      </c>
      <c r="C70" s="41">
        <f t="shared" si="69"/>
        <v>0</v>
      </c>
      <c r="D70" s="41">
        <f t="shared" si="69"/>
        <v>0</v>
      </c>
      <c r="E70" s="41">
        <f t="shared" si="69"/>
        <v>0</v>
      </c>
      <c r="F70" s="41">
        <f t="shared" si="69"/>
        <v>0</v>
      </c>
      <c r="G70" s="41">
        <f t="shared" si="69"/>
        <v>0</v>
      </c>
      <c r="H70" s="41">
        <f t="shared" si="69"/>
        <v>0</v>
      </c>
      <c r="I70" s="41">
        <f t="shared" si="69"/>
        <v>0</v>
      </c>
      <c r="J70" s="41">
        <f t="shared" ref="J70:M70" si="70">IF(J63="Yes",0,CHOOSE(J71,J595,J585,J570,J91))</f>
        <v>0</v>
      </c>
      <c r="K70" s="41">
        <f t="shared" si="70"/>
        <v>0</v>
      </c>
      <c r="L70" s="41">
        <f t="shared" si="70"/>
        <v>0</v>
      </c>
      <c r="M70" s="41">
        <f t="shared" si="70"/>
        <v>0</v>
      </c>
    </row>
    <row r="71" spans="1:13" ht="15" customHeight="1">
      <c r="A71" s="102" t="s">
        <v>368</v>
      </c>
      <c r="B71" s="109">
        <f t="shared" ref="B71:I71" si="71">B785</f>
        <v>4</v>
      </c>
      <c r="C71" s="109">
        <f t="shared" si="71"/>
        <v>4</v>
      </c>
      <c r="D71" s="109">
        <f t="shared" si="71"/>
        <v>4</v>
      </c>
      <c r="E71" s="109">
        <f t="shared" si="71"/>
        <v>4</v>
      </c>
      <c r="F71" s="109">
        <f t="shared" si="71"/>
        <v>4</v>
      </c>
      <c r="G71" s="109">
        <f t="shared" si="71"/>
        <v>4</v>
      </c>
      <c r="H71" s="109">
        <f t="shared" si="71"/>
        <v>4</v>
      </c>
      <c r="I71" s="109">
        <f t="shared" si="71"/>
        <v>4</v>
      </c>
      <c r="J71" s="109">
        <f t="shared" ref="J71:M71" si="72">J785</f>
        <v>4</v>
      </c>
      <c r="K71" s="109">
        <f t="shared" si="72"/>
        <v>4</v>
      </c>
      <c r="L71" s="109">
        <f t="shared" si="72"/>
        <v>4</v>
      </c>
      <c r="M71" s="109">
        <f t="shared" si="72"/>
        <v>4</v>
      </c>
    </row>
    <row r="73" spans="1:13" ht="15" customHeight="1">
      <c r="A73" s="23" t="s">
        <v>378</v>
      </c>
      <c r="B73" s="26"/>
      <c r="C73" s="26"/>
      <c r="D73" s="26"/>
      <c r="E73" s="26"/>
      <c r="F73" s="26"/>
      <c r="G73" s="26"/>
      <c r="H73" s="26"/>
      <c r="I73" s="26"/>
      <c r="J73" s="26"/>
      <c r="K73" s="26"/>
      <c r="L73" s="26"/>
      <c r="M73" s="26"/>
    </row>
    <row r="74" spans="1:13" ht="15" customHeight="1">
      <c r="A74" s="3" t="s">
        <v>379</v>
      </c>
      <c r="B74" s="41">
        <f t="shared" ref="B74:I74" si="73">CHOOSE(B75,(B80*B82)*(1-B79),B77)</f>
        <v>0</v>
      </c>
      <c r="C74" s="41">
        <f t="shared" si="73"/>
        <v>0</v>
      </c>
      <c r="D74" s="41">
        <f t="shared" si="73"/>
        <v>0</v>
      </c>
      <c r="E74" s="41">
        <f t="shared" si="73"/>
        <v>0</v>
      </c>
      <c r="F74" s="41">
        <f t="shared" si="73"/>
        <v>0</v>
      </c>
      <c r="G74" s="41">
        <f t="shared" si="73"/>
        <v>0</v>
      </c>
      <c r="H74" s="41">
        <f t="shared" si="73"/>
        <v>0</v>
      </c>
      <c r="I74" s="41">
        <f t="shared" si="73"/>
        <v>0</v>
      </c>
      <c r="J74" s="41">
        <f t="shared" ref="J74:M74" si="74">CHOOSE(J75,(J80*J82)*(1-J79),J77)</f>
        <v>0</v>
      </c>
      <c r="K74" s="41">
        <f t="shared" si="74"/>
        <v>0</v>
      </c>
      <c r="L74" s="41">
        <f t="shared" si="74"/>
        <v>0</v>
      </c>
      <c r="M74" s="41">
        <f t="shared" si="74"/>
        <v>0</v>
      </c>
    </row>
    <row r="75" spans="1:13" ht="15" customHeight="1">
      <c r="A75" s="102" t="s">
        <v>362</v>
      </c>
      <c r="B75" s="109">
        <f t="shared" ref="B75:I75" si="75">B789</f>
        <v>1</v>
      </c>
      <c r="C75" s="109">
        <f t="shared" si="75"/>
        <v>1</v>
      </c>
      <c r="D75" s="109">
        <f t="shared" si="75"/>
        <v>1</v>
      </c>
      <c r="E75" s="109">
        <f t="shared" si="75"/>
        <v>1</v>
      </c>
      <c r="F75" s="109">
        <f t="shared" si="75"/>
        <v>1</v>
      </c>
      <c r="G75" s="109">
        <f t="shared" si="75"/>
        <v>1</v>
      </c>
      <c r="H75" s="109">
        <f t="shared" si="75"/>
        <v>1</v>
      </c>
      <c r="I75" s="109">
        <f t="shared" si="75"/>
        <v>1</v>
      </c>
      <c r="J75" s="109">
        <f t="shared" ref="J75:M75" si="76">J789</f>
        <v>1</v>
      </c>
      <c r="K75" s="109">
        <f t="shared" si="76"/>
        <v>1</v>
      </c>
      <c r="L75" s="109">
        <f t="shared" si="76"/>
        <v>1</v>
      </c>
      <c r="M75" s="109">
        <f t="shared" si="76"/>
        <v>1</v>
      </c>
    </row>
    <row r="76" spans="1:13" ht="15" customHeight="1">
      <c r="A76" s="104"/>
      <c r="B76" s="50"/>
      <c r="C76" s="50"/>
      <c r="D76" s="50"/>
      <c r="E76" s="50"/>
      <c r="F76" s="50"/>
      <c r="G76" s="50"/>
      <c r="H76" s="50"/>
      <c r="I76" s="50"/>
      <c r="J76" s="50"/>
      <c r="K76" s="50"/>
      <c r="L76" s="50"/>
      <c r="M76" s="50"/>
    </row>
    <row r="77" spans="1:13" ht="15" customHeight="1">
      <c r="A77" s="102" t="s">
        <v>366</v>
      </c>
      <c r="B77" s="41">
        <f t="shared" ref="B77:I77" si="77">B790</f>
        <v>0</v>
      </c>
      <c r="C77" s="41">
        <f t="shared" si="77"/>
        <v>0</v>
      </c>
      <c r="D77" s="41">
        <f t="shared" si="77"/>
        <v>0</v>
      </c>
      <c r="E77" s="41">
        <f t="shared" si="77"/>
        <v>0</v>
      </c>
      <c r="F77" s="41">
        <f t="shared" si="77"/>
        <v>0</v>
      </c>
      <c r="G77" s="41">
        <f t="shared" si="77"/>
        <v>0</v>
      </c>
      <c r="H77" s="41">
        <f t="shared" si="77"/>
        <v>0</v>
      </c>
      <c r="I77" s="41">
        <f t="shared" si="77"/>
        <v>0</v>
      </c>
      <c r="J77" s="41">
        <f t="shared" ref="J77:M77" si="78">J790</f>
        <v>0</v>
      </c>
      <c r="K77" s="41">
        <f t="shared" si="78"/>
        <v>0</v>
      </c>
      <c r="L77" s="41">
        <f t="shared" si="78"/>
        <v>0</v>
      </c>
      <c r="M77" s="41">
        <f t="shared" si="78"/>
        <v>0</v>
      </c>
    </row>
    <row r="78" spans="1:13" ht="15" customHeight="1">
      <c r="A78" s="104"/>
      <c r="B78" s="50"/>
      <c r="C78" s="50"/>
      <c r="D78" s="50"/>
      <c r="E78" s="50"/>
      <c r="F78" s="50"/>
      <c r="G78" s="50"/>
      <c r="H78" s="50"/>
      <c r="I78" s="50"/>
      <c r="J78" s="50"/>
      <c r="K78" s="50"/>
      <c r="L78" s="50"/>
      <c r="M78" s="50"/>
    </row>
    <row r="79" spans="1:13" ht="15" customHeight="1">
      <c r="A79" s="102" t="s">
        <v>364</v>
      </c>
      <c r="B79" s="108">
        <f t="shared" ref="B79:I80" si="79">B791</f>
        <v>0</v>
      </c>
      <c r="C79" s="108">
        <f t="shared" si="79"/>
        <v>0</v>
      </c>
      <c r="D79" s="108">
        <f t="shared" si="79"/>
        <v>0</v>
      </c>
      <c r="E79" s="108">
        <f t="shared" si="79"/>
        <v>0</v>
      </c>
      <c r="F79" s="108">
        <f t="shared" si="79"/>
        <v>0</v>
      </c>
      <c r="G79" s="108">
        <f t="shared" si="79"/>
        <v>0</v>
      </c>
      <c r="H79" s="108">
        <f t="shared" si="79"/>
        <v>0</v>
      </c>
      <c r="I79" s="108">
        <f t="shared" si="79"/>
        <v>0</v>
      </c>
      <c r="J79" s="108">
        <f t="shared" ref="J79:M79" si="80">J791</f>
        <v>0</v>
      </c>
      <c r="K79" s="108">
        <f t="shared" si="80"/>
        <v>0</v>
      </c>
      <c r="L79" s="108">
        <f t="shared" si="80"/>
        <v>0</v>
      </c>
      <c r="M79" s="108">
        <f t="shared" si="80"/>
        <v>0</v>
      </c>
    </row>
    <row r="80" spans="1:13" ht="15" customHeight="1">
      <c r="A80" s="102" t="s">
        <v>363</v>
      </c>
      <c r="B80" s="49">
        <f t="shared" si="79"/>
        <v>0</v>
      </c>
      <c r="C80" s="49">
        <f t="shared" si="79"/>
        <v>0</v>
      </c>
      <c r="D80" s="49">
        <f t="shared" si="79"/>
        <v>0</v>
      </c>
      <c r="E80" s="49">
        <f t="shared" si="79"/>
        <v>0</v>
      </c>
      <c r="F80" s="49">
        <f t="shared" si="79"/>
        <v>0</v>
      </c>
      <c r="G80" s="49">
        <f t="shared" si="79"/>
        <v>0</v>
      </c>
      <c r="H80" s="49">
        <f t="shared" si="79"/>
        <v>0</v>
      </c>
      <c r="I80" s="49">
        <f t="shared" si="79"/>
        <v>0</v>
      </c>
      <c r="J80" s="49">
        <f t="shared" ref="J80:M80" si="81">J792</f>
        <v>0</v>
      </c>
      <c r="K80" s="49">
        <f t="shared" si="81"/>
        <v>0</v>
      </c>
      <c r="L80" s="49">
        <f t="shared" si="81"/>
        <v>0</v>
      </c>
      <c r="M80" s="49">
        <f t="shared" si="81"/>
        <v>0</v>
      </c>
    </row>
    <row r="81" spans="1:13" ht="15" customHeight="1">
      <c r="A81" s="104"/>
      <c r="B81" s="50"/>
      <c r="C81" s="50"/>
      <c r="D81" s="50"/>
      <c r="E81" s="50"/>
      <c r="F81" s="50"/>
      <c r="G81" s="50"/>
      <c r="H81" s="50"/>
      <c r="I81" s="50"/>
      <c r="J81" s="50"/>
      <c r="K81" s="50"/>
      <c r="L81" s="50"/>
      <c r="M81" s="50"/>
    </row>
    <row r="82" spans="1:13" ht="15" customHeight="1">
      <c r="A82" s="102" t="s">
        <v>365</v>
      </c>
      <c r="B82" s="47">
        <f t="shared" ref="B82:I82" si="82">B604</f>
        <v>123.25</v>
      </c>
      <c r="C82" s="47">
        <f t="shared" si="82"/>
        <v>129.09</v>
      </c>
      <c r="D82" s="47">
        <f t="shared" si="82"/>
        <v>100.75</v>
      </c>
      <c r="E82" s="47">
        <f t="shared" si="82"/>
        <v>95</v>
      </c>
      <c r="F82" s="47">
        <f t="shared" si="82"/>
        <v>80.714285714285708</v>
      </c>
      <c r="G82" s="47">
        <f t="shared" si="82"/>
        <v>80.714285714285708</v>
      </c>
      <c r="H82" s="47">
        <f t="shared" si="82"/>
        <v>71.428571428571431</v>
      </c>
      <c r="I82" s="47">
        <f t="shared" si="82"/>
        <v>72.28</v>
      </c>
      <c r="J82" s="47">
        <f t="shared" ref="J82:M82" si="83">J604</f>
        <v>59.714285714285715</v>
      </c>
      <c r="K82" s="47">
        <f t="shared" si="83"/>
        <v>72.8</v>
      </c>
      <c r="L82" s="47">
        <f t="shared" si="83"/>
        <v>72.857142857142861</v>
      </c>
      <c r="M82" s="47">
        <f t="shared" si="83"/>
        <v>83.43</v>
      </c>
    </row>
    <row r="83" spans="1:13" ht="15" customHeight="1">
      <c r="A83" s="102"/>
      <c r="B83" s="47"/>
      <c r="C83" s="47"/>
      <c r="D83" s="47"/>
      <c r="E83" s="47"/>
      <c r="F83" s="47"/>
      <c r="G83" s="47"/>
      <c r="H83" s="47"/>
      <c r="I83" s="47"/>
      <c r="J83" s="47"/>
      <c r="K83" s="47"/>
      <c r="L83" s="47"/>
      <c r="M83" s="47"/>
    </row>
    <row r="84" spans="1:13" ht="15" customHeight="1">
      <c r="A84" s="23" t="s">
        <v>383</v>
      </c>
      <c r="B84" s="26"/>
      <c r="C84" s="26"/>
      <c r="D84" s="26"/>
      <c r="E84" s="26"/>
      <c r="F84" s="26"/>
      <c r="G84" s="26"/>
      <c r="H84" s="26"/>
      <c r="I84" s="26"/>
      <c r="J84" s="26"/>
      <c r="K84" s="26"/>
      <c r="L84" s="26"/>
      <c r="M84" s="26"/>
    </row>
    <row r="85" spans="1:13" ht="15" customHeight="1">
      <c r="A85" s="3" t="s">
        <v>382</v>
      </c>
      <c r="B85" s="39">
        <f t="shared" ref="B85:I85" si="84">IF(B86=0,0,B86*(B424-B87))</f>
        <v>4410</v>
      </c>
      <c r="C85" s="39">
        <f t="shared" si="84"/>
        <v>4410</v>
      </c>
      <c r="D85" s="39">
        <f t="shared" si="84"/>
        <v>4410</v>
      </c>
      <c r="E85" s="39">
        <f t="shared" si="84"/>
        <v>5290</v>
      </c>
      <c r="F85" s="39">
        <f t="shared" si="84"/>
        <v>5290</v>
      </c>
      <c r="G85" s="39">
        <f t="shared" si="84"/>
        <v>5290</v>
      </c>
      <c r="H85" s="39">
        <f t="shared" si="84"/>
        <v>5290</v>
      </c>
      <c r="I85" s="39">
        <f t="shared" si="84"/>
        <v>4761</v>
      </c>
      <c r="J85" s="39">
        <f t="shared" ref="J85:M85" si="85">IF(J86=0,0,J86*(J424-J87))</f>
        <v>4232</v>
      </c>
      <c r="K85" s="39">
        <f t="shared" si="85"/>
        <v>4232</v>
      </c>
      <c r="L85" s="39">
        <f t="shared" si="85"/>
        <v>4232</v>
      </c>
      <c r="M85" s="39">
        <f t="shared" si="85"/>
        <v>0</v>
      </c>
    </row>
    <row r="86" spans="1:13" ht="15" customHeight="1">
      <c r="A86" s="3" t="s">
        <v>34</v>
      </c>
      <c r="B86" s="110">
        <f t="shared" ref="B86:I87" si="86">B823</f>
        <v>21000</v>
      </c>
      <c r="C86" s="110">
        <f t="shared" si="86"/>
        <v>21000</v>
      </c>
      <c r="D86" s="110">
        <f t="shared" si="86"/>
        <v>21000</v>
      </c>
      <c r="E86" s="110">
        <f t="shared" si="86"/>
        <v>23000</v>
      </c>
      <c r="F86" s="110">
        <f t="shared" si="86"/>
        <v>23000</v>
      </c>
      <c r="G86" s="110">
        <f t="shared" si="86"/>
        <v>23000</v>
      </c>
      <c r="H86" s="110">
        <f t="shared" si="86"/>
        <v>23000</v>
      </c>
      <c r="I86" s="110">
        <f t="shared" si="86"/>
        <v>20700</v>
      </c>
      <c r="J86" s="110">
        <f t="shared" ref="J86:M86" si="87">J823</f>
        <v>18400</v>
      </c>
      <c r="K86" s="110">
        <f t="shared" si="87"/>
        <v>18400</v>
      </c>
      <c r="L86" s="110">
        <f t="shared" si="87"/>
        <v>18400</v>
      </c>
      <c r="M86" s="110">
        <f t="shared" si="87"/>
        <v>0</v>
      </c>
    </row>
    <row r="87" spans="1:13" ht="15" customHeight="1">
      <c r="A87" s="3" t="s">
        <v>380</v>
      </c>
      <c r="B87" s="111">
        <f t="shared" si="86"/>
        <v>0.15</v>
      </c>
      <c r="C87" s="111">
        <f t="shared" si="86"/>
        <v>0.15</v>
      </c>
      <c r="D87" s="111">
        <f t="shared" si="86"/>
        <v>0.15</v>
      </c>
      <c r="E87" s="111">
        <f t="shared" si="86"/>
        <v>0.15</v>
      </c>
      <c r="F87" s="111">
        <f t="shared" si="86"/>
        <v>0.15</v>
      </c>
      <c r="G87" s="111">
        <f t="shared" si="86"/>
        <v>0.15</v>
      </c>
      <c r="H87" s="111">
        <f t="shared" si="86"/>
        <v>0.15</v>
      </c>
      <c r="I87" s="111">
        <f t="shared" si="86"/>
        <v>0.15</v>
      </c>
      <c r="J87" s="111">
        <f t="shared" ref="J87:M87" si="88">J824</f>
        <v>0.15</v>
      </c>
      <c r="K87" s="111">
        <f t="shared" si="88"/>
        <v>0.15</v>
      </c>
      <c r="L87" s="111">
        <f t="shared" si="88"/>
        <v>0.15</v>
      </c>
      <c r="M87" s="111">
        <f t="shared" si="88"/>
        <v>0.15</v>
      </c>
    </row>
    <row r="88" spans="1:13" ht="15" customHeight="1">
      <c r="A88" s="3" t="s">
        <v>381</v>
      </c>
      <c r="B88" s="88">
        <f t="shared" ref="B88:M88" si="89">B$547</f>
        <v>0.36</v>
      </c>
      <c r="C88" s="88">
        <f t="shared" si="89"/>
        <v>0.36</v>
      </c>
      <c r="D88" s="88">
        <f t="shared" si="89"/>
        <v>0.36</v>
      </c>
      <c r="E88" s="88">
        <f t="shared" si="89"/>
        <v>0.38</v>
      </c>
      <c r="F88" s="88">
        <f t="shared" si="89"/>
        <v>0.38</v>
      </c>
      <c r="G88" s="88">
        <f t="shared" si="89"/>
        <v>0.38</v>
      </c>
      <c r="H88" s="88">
        <f t="shared" si="89"/>
        <v>0.38</v>
      </c>
      <c r="I88" s="88">
        <f t="shared" si="89"/>
        <v>0.38</v>
      </c>
      <c r="J88" s="88">
        <f t="shared" si="89"/>
        <v>0.38</v>
      </c>
      <c r="K88" s="88">
        <f t="shared" si="89"/>
        <v>0.38</v>
      </c>
      <c r="L88" s="88">
        <f t="shared" si="89"/>
        <v>0.38</v>
      </c>
      <c r="M88" s="88">
        <f t="shared" si="89"/>
        <v>0.35</v>
      </c>
    </row>
    <row r="90" spans="1:13" ht="15" customHeight="1">
      <c r="A90" s="23" t="s">
        <v>9</v>
      </c>
      <c r="B90" s="26"/>
      <c r="C90" s="26"/>
      <c r="D90" s="26"/>
      <c r="E90" s="26"/>
      <c r="F90" s="26"/>
      <c r="G90" s="26"/>
      <c r="H90" s="26"/>
      <c r="I90" s="26"/>
      <c r="J90" s="26"/>
      <c r="K90" s="26"/>
      <c r="L90" s="26"/>
      <c r="M90" s="26"/>
    </row>
    <row r="91" spans="1:13" ht="15" customHeight="1">
      <c r="A91" s="3" t="s">
        <v>405</v>
      </c>
      <c r="B91" s="41">
        <f t="shared" ref="B91:I91" ca="1" si="90">B93+B92</f>
        <v>611824.76980965026</v>
      </c>
      <c r="C91" s="41">
        <f t="shared" ca="1" si="90"/>
        <v>574035.91646777536</v>
      </c>
      <c r="D91" s="41">
        <f t="shared" ca="1" si="90"/>
        <v>518370.98632747924</v>
      </c>
      <c r="E91" s="41">
        <f t="shared" ca="1" si="90"/>
        <v>466944.67026683548</v>
      </c>
      <c r="F91" s="41">
        <f t="shared" ca="1" si="90"/>
        <v>479114.26349221275</v>
      </c>
      <c r="G91" s="41">
        <f t="shared" ca="1" si="90"/>
        <v>471486.14746490947</v>
      </c>
      <c r="H91" s="41">
        <f t="shared" ca="1" si="90"/>
        <v>431063.79853165708</v>
      </c>
      <c r="I91" s="41">
        <f t="shared" ca="1" si="90"/>
        <v>452656.10551020573</v>
      </c>
      <c r="J91" s="41">
        <f t="shared" ref="J91:M91" ca="1" si="91">J93+J92</f>
        <v>429027.76140320243</v>
      </c>
      <c r="K91" s="41">
        <f t="shared" ca="1" si="91"/>
        <v>427804.09381574031</v>
      </c>
      <c r="L91" s="41">
        <f t="shared" ca="1" si="91"/>
        <v>457054.1610230566</v>
      </c>
      <c r="M91" s="41">
        <f t="shared" ca="1" si="91"/>
        <v>509740.88598042994</v>
      </c>
    </row>
    <row r="92" spans="1:13" ht="15" customHeight="1">
      <c r="A92" s="102" t="s">
        <v>481</v>
      </c>
      <c r="B92" s="41">
        <f t="shared" ref="B92:M92" ca="1" si="92">SUM(OFFSET(B$165,0,0,B$160,1))</f>
        <v>313381.81023601483</v>
      </c>
      <c r="C92" s="41">
        <f t="shared" ca="1" si="92"/>
        <v>292924.11751113087</v>
      </c>
      <c r="D92" s="41">
        <f t="shared" ca="1" si="92"/>
        <v>257472.42235094323</v>
      </c>
      <c r="E92" s="41">
        <f t="shared" ca="1" si="92"/>
        <v>239968.62639799566</v>
      </c>
      <c r="F92" s="41">
        <f t="shared" ca="1" si="92"/>
        <v>241321.40142982476</v>
      </c>
      <c r="G92" s="41">
        <f t="shared" ca="1" si="92"/>
        <v>236205.9422711134</v>
      </c>
      <c r="H92" s="41">
        <f t="shared" ca="1" si="92"/>
        <v>232946.67991486087</v>
      </c>
      <c r="I92" s="41">
        <f t="shared" ca="1" si="92"/>
        <v>225926.32297571041</v>
      </c>
      <c r="J92" s="41">
        <f t="shared" ca="1" si="92"/>
        <v>230946.75308714248</v>
      </c>
      <c r="K92" s="41">
        <f t="shared" ca="1" si="92"/>
        <v>235329.88970580878</v>
      </c>
      <c r="L92" s="41">
        <f t="shared" ca="1" si="92"/>
        <v>252288.89152516151</v>
      </c>
      <c r="M92" s="41">
        <f t="shared" ca="1" si="92"/>
        <v>213600.28732590357</v>
      </c>
    </row>
    <row r="93" spans="1:13" ht="15" customHeight="1">
      <c r="A93" s="102" t="s">
        <v>407</v>
      </c>
      <c r="B93" s="41">
        <f t="shared" ref="B93:I93" ca="1" si="93">+B95*OFFSET(B$206,B$160,0)</f>
        <v>298442.95957363548</v>
      </c>
      <c r="C93" s="41">
        <f t="shared" ca="1" si="93"/>
        <v>281111.79895664455</v>
      </c>
      <c r="D93" s="41">
        <f t="shared" ca="1" si="93"/>
        <v>260898.56397653598</v>
      </c>
      <c r="E93" s="41">
        <f t="shared" ca="1" si="93"/>
        <v>226976.0438688398</v>
      </c>
      <c r="F93" s="41">
        <f t="shared" ca="1" si="93"/>
        <v>237792.86206238795</v>
      </c>
      <c r="G93" s="41">
        <f t="shared" ca="1" si="93"/>
        <v>235280.20519379608</v>
      </c>
      <c r="H93" s="41">
        <f t="shared" ca="1" si="93"/>
        <v>198117.11861679622</v>
      </c>
      <c r="I93" s="41">
        <f t="shared" ca="1" si="93"/>
        <v>226729.78253449535</v>
      </c>
      <c r="J93" s="41">
        <f t="shared" ref="J93:M93" ca="1" si="94">+J95*OFFSET(J$206,J$160,0)</f>
        <v>198081.00831605992</v>
      </c>
      <c r="K93" s="41">
        <f t="shared" ca="1" si="94"/>
        <v>192474.20410993151</v>
      </c>
      <c r="L93" s="41">
        <f t="shared" ca="1" si="94"/>
        <v>204765.26949789509</v>
      </c>
      <c r="M93" s="41">
        <f t="shared" ca="1" si="94"/>
        <v>296140.59865452634</v>
      </c>
    </row>
    <row r="94" spans="1:13" ht="15" customHeight="1">
      <c r="A94" s="104"/>
      <c r="B94" s="50"/>
      <c r="C94" s="50"/>
      <c r="D94" s="50"/>
      <c r="E94" s="50"/>
      <c r="F94" s="50"/>
      <c r="G94" s="50"/>
      <c r="H94" s="50"/>
      <c r="I94" s="50"/>
      <c r="J94" s="50"/>
      <c r="K94" s="50"/>
      <c r="L94" s="50"/>
      <c r="M94" s="50"/>
    </row>
    <row r="95" spans="1:13" ht="15" customHeight="1">
      <c r="A95" s="102" t="s">
        <v>406</v>
      </c>
      <c r="B95" s="41">
        <f t="shared" ref="B95:I95" ca="1" si="95">B102</f>
        <v>668147.37343803211</v>
      </c>
      <c r="C95" s="41">
        <f t="shared" ca="1" si="95"/>
        <v>632532.04752255394</v>
      </c>
      <c r="D95" s="41">
        <f t="shared" ca="1" si="95"/>
        <v>610138.48435684142</v>
      </c>
      <c r="E95" s="41">
        <f t="shared" ca="1" si="95"/>
        <v>584131.2926788443</v>
      </c>
      <c r="F95" s="41">
        <f t="shared" ca="1" si="95"/>
        <v>584116.11995270546</v>
      </c>
      <c r="G95" s="41">
        <f t="shared" ca="1" si="95"/>
        <v>578727.13555804885</v>
      </c>
      <c r="H95" s="41">
        <f t="shared" ca="1" si="95"/>
        <v>491225.49649208976</v>
      </c>
      <c r="I95" s="41">
        <f t="shared" ca="1" si="95"/>
        <v>623856.72140012693</v>
      </c>
      <c r="J95" s="41">
        <f t="shared" ref="J95:M95" ca="1" si="96">J102</f>
        <v>540483.79141858709</v>
      </c>
      <c r="K95" s="41">
        <f t="shared" ca="1" si="96"/>
        <v>525300.51595448237</v>
      </c>
      <c r="L95" s="41">
        <f t="shared" ca="1" si="96"/>
        <v>587997.66365407349</v>
      </c>
      <c r="M95" s="41">
        <f t="shared" ca="1" si="96"/>
        <v>844317.87381861766</v>
      </c>
    </row>
    <row r="96" spans="1:13" ht="15" customHeight="1">
      <c r="A96" s="102" t="s">
        <v>361</v>
      </c>
      <c r="B96" s="36">
        <f t="shared" ref="B96:I96" si="97">B115</f>
        <v>0.08</v>
      </c>
      <c r="C96" s="36">
        <f t="shared" si="97"/>
        <v>0.08</v>
      </c>
      <c r="D96" s="36">
        <f t="shared" si="97"/>
        <v>0.08</v>
      </c>
      <c r="E96" s="36">
        <f t="shared" si="97"/>
        <v>0.08</v>
      </c>
      <c r="F96" s="36">
        <f t="shared" si="97"/>
        <v>0.08</v>
      </c>
      <c r="G96" s="36">
        <f t="shared" si="97"/>
        <v>0.08</v>
      </c>
      <c r="H96" s="36">
        <f t="shared" si="97"/>
        <v>0.08</v>
      </c>
      <c r="I96" s="36">
        <f t="shared" si="97"/>
        <v>0.08</v>
      </c>
      <c r="J96" s="36">
        <f t="shared" ref="J96:M96" si="98">J115</f>
        <v>0.08</v>
      </c>
      <c r="K96" s="36">
        <f t="shared" si="98"/>
        <v>0.08</v>
      </c>
      <c r="L96" s="36">
        <f t="shared" si="98"/>
        <v>0.08</v>
      </c>
      <c r="M96" s="36">
        <f t="shared" si="98"/>
        <v>0.08</v>
      </c>
    </row>
    <row r="97" spans="1:13" ht="15" customHeight="1">
      <c r="A97" s="102" t="s">
        <v>360</v>
      </c>
      <c r="B97" s="41">
        <f t="shared" ref="B97:I97" ca="1" si="99">B118</f>
        <v>40422.916093000938</v>
      </c>
      <c r="C97" s="41">
        <f t="shared" ca="1" si="99"/>
        <v>37951.922851353236</v>
      </c>
      <c r="D97" s="41">
        <f t="shared" ca="1" si="99"/>
        <v>33679.644336497644</v>
      </c>
      <c r="E97" s="41">
        <f t="shared" ca="1" si="99"/>
        <v>31543.089804657597</v>
      </c>
      <c r="F97" s="41">
        <f t="shared" ca="1" si="99"/>
        <v>30958.154357493393</v>
      </c>
      <c r="G97" s="41">
        <f t="shared" ca="1" si="99"/>
        <v>30556.79275746498</v>
      </c>
      <c r="H97" s="41">
        <f t="shared" ca="1" si="99"/>
        <v>24364.784626007655</v>
      </c>
      <c r="I97" s="41">
        <f t="shared" ca="1" si="99"/>
        <v>31192.836070006346</v>
      </c>
      <c r="J97" s="41">
        <f t="shared" ref="J97:M97" ca="1" si="100">J118</f>
        <v>33780.236963661693</v>
      </c>
      <c r="K97" s="41">
        <f t="shared" ca="1" si="100"/>
        <v>32936.342350346051</v>
      </c>
      <c r="L97" s="41">
        <f t="shared" ca="1" si="100"/>
        <v>36455.85514655256</v>
      </c>
      <c r="M97" s="41">
        <f t="shared" ca="1" si="100"/>
        <v>53445.321412718491</v>
      </c>
    </row>
    <row r="98" spans="1:13" ht="15" customHeight="1">
      <c r="A98" s="104"/>
      <c r="B98" s="50"/>
      <c r="C98" s="50"/>
      <c r="D98" s="50"/>
      <c r="E98" s="50"/>
      <c r="F98" s="50"/>
      <c r="G98" s="50"/>
      <c r="H98" s="50"/>
      <c r="I98" s="50"/>
      <c r="J98" s="50"/>
      <c r="K98" s="50"/>
      <c r="L98" s="50"/>
      <c r="M98" s="50"/>
    </row>
    <row r="99" spans="1:13" ht="15" customHeight="1">
      <c r="A99" s="23" t="s">
        <v>475</v>
      </c>
      <c r="B99" s="26"/>
      <c r="C99" s="26"/>
      <c r="D99" s="26"/>
      <c r="E99" s="26"/>
      <c r="F99" s="26"/>
      <c r="G99" s="26"/>
      <c r="H99" s="26"/>
      <c r="I99" s="26"/>
      <c r="J99" s="26"/>
      <c r="K99" s="26"/>
      <c r="L99" s="26"/>
      <c r="M99" s="26"/>
    </row>
    <row r="100" spans="1:13" ht="15" customHeight="1">
      <c r="A100" s="1"/>
    </row>
    <row r="101" spans="1:13" ht="15" customHeight="1">
      <c r="A101" s="130" t="s">
        <v>480</v>
      </c>
      <c r="B101" s="133">
        <f t="shared" ref="B101:I101" ca="1" si="101">B102/B103-1</f>
        <v>-0.10712809917355359</v>
      </c>
      <c r="C101" s="133">
        <f t="shared" ca="1" si="101"/>
        <v>-9.7222222222222099E-2</v>
      </c>
      <c r="D101" s="133">
        <f t="shared" ca="1" si="101"/>
        <v>3.1642512077294516E-3</v>
      </c>
      <c r="E101" s="133">
        <f t="shared" ca="1" si="101"/>
        <v>2.9938271604937894E-2</v>
      </c>
      <c r="F101" s="133">
        <f t="shared" ca="1" si="101"/>
        <v>5.2830188679245271E-2</v>
      </c>
      <c r="G101" s="133">
        <f t="shared" ca="1" si="101"/>
        <v>5.7474747474747456E-2</v>
      </c>
      <c r="H101" s="133">
        <f t="shared" ca="1" si="101"/>
        <v>-5.750000000000044E-2</v>
      </c>
      <c r="I101" s="133">
        <f t="shared" ca="1" si="101"/>
        <v>0.125</v>
      </c>
      <c r="J101" s="133">
        <f t="shared" ref="J101:M101" ca="1" si="102">J102/J103-1</f>
        <v>-0.14583333333333326</v>
      </c>
      <c r="K101" s="133">
        <f t="shared" ca="1" si="102"/>
        <v>-0.14962652844231794</v>
      </c>
      <c r="L101" s="133">
        <f t="shared" ca="1" si="102"/>
        <v>-0.21250000000000013</v>
      </c>
      <c r="M101" s="133">
        <f t="shared" ca="1" si="102"/>
        <v>-0.16092548709847287</v>
      </c>
    </row>
    <row r="102" spans="1:13" ht="15" customHeight="1">
      <c r="A102" s="130" t="s">
        <v>474</v>
      </c>
      <c r="B102" s="128">
        <f t="shared" ref="B102:I102" ca="1" si="103">B118/(B115-B116)</f>
        <v>668147.37343803211</v>
      </c>
      <c r="C102" s="128">
        <f t="shared" ca="1" si="103"/>
        <v>632532.04752255394</v>
      </c>
      <c r="D102" s="128">
        <f t="shared" ca="1" si="103"/>
        <v>610138.48435684142</v>
      </c>
      <c r="E102" s="128">
        <f t="shared" ca="1" si="103"/>
        <v>584131.2926788443</v>
      </c>
      <c r="F102" s="128">
        <f t="shared" ca="1" si="103"/>
        <v>584116.11995270546</v>
      </c>
      <c r="G102" s="128">
        <f t="shared" ca="1" si="103"/>
        <v>578727.13555804885</v>
      </c>
      <c r="H102" s="128">
        <f t="shared" ca="1" si="103"/>
        <v>491225.49649208976</v>
      </c>
      <c r="I102" s="128">
        <f t="shared" ca="1" si="103"/>
        <v>623856.72140012693</v>
      </c>
      <c r="J102" s="128">
        <f t="shared" ref="J102:M102" ca="1" si="104">J118/(J115-J116)</f>
        <v>540483.79141858709</v>
      </c>
      <c r="K102" s="128">
        <f t="shared" ca="1" si="104"/>
        <v>525300.51595448237</v>
      </c>
      <c r="L102" s="128">
        <f t="shared" ca="1" si="104"/>
        <v>587997.66365407349</v>
      </c>
      <c r="M102" s="128">
        <f t="shared" ca="1" si="104"/>
        <v>844317.87381861766</v>
      </c>
    </row>
    <row r="103" spans="1:13" ht="15" customHeight="1">
      <c r="A103" s="130" t="s">
        <v>478</v>
      </c>
      <c r="B103" s="128">
        <f t="shared" ref="B103:I103" ca="1" si="105">B120*(1-B123)*(1-B104)/(B105-B125)</f>
        <v>748312.68944581167</v>
      </c>
      <c r="C103" s="128">
        <f t="shared" ca="1" si="105"/>
        <v>700650.88340959814</v>
      </c>
      <c r="D103" s="128">
        <f t="shared" ca="1" si="105"/>
        <v>608213.94265423983</v>
      </c>
      <c r="E103" s="128">
        <f t="shared" ca="1" si="105"/>
        <v>567151.74955932156</v>
      </c>
      <c r="F103" s="128">
        <f t="shared" ca="1" si="105"/>
        <v>554805.63364683499</v>
      </c>
      <c r="G103" s="128">
        <f t="shared" ca="1" si="105"/>
        <v>547272.7712317016</v>
      </c>
      <c r="H103" s="128">
        <f t="shared" ca="1" si="105"/>
        <v>521194.16073431302</v>
      </c>
      <c r="I103" s="128">
        <f t="shared" ca="1" si="105"/>
        <v>554539.30791122396</v>
      </c>
      <c r="J103" s="128">
        <f t="shared" ref="J103:M103" ca="1" si="106">J120*(1-J123)*(1-J104)/(J105-J125)</f>
        <v>632761.51190468727</v>
      </c>
      <c r="K103" s="128">
        <f t="shared" ca="1" si="106"/>
        <v>617729.19020187296</v>
      </c>
      <c r="L103" s="128">
        <f t="shared" ca="1" si="106"/>
        <v>746663.69987818867</v>
      </c>
      <c r="M103" s="128">
        <f t="shared" ca="1" si="106"/>
        <v>1006248.9812721864</v>
      </c>
    </row>
    <row r="104" spans="1:13" ht="15" customHeight="1">
      <c r="A104" s="130" t="s">
        <v>479</v>
      </c>
      <c r="B104" s="132">
        <f t="shared" ref="B104:I104" si="107">B125/B105</f>
        <v>0.30232558139534882</v>
      </c>
      <c r="C104" s="132">
        <f t="shared" si="107"/>
        <v>0.30769230769230771</v>
      </c>
      <c r="D104" s="132">
        <f t="shared" si="107"/>
        <v>0.35530085959885382</v>
      </c>
      <c r="E104" s="132">
        <f t="shared" si="107"/>
        <v>0.36619718309859156</v>
      </c>
      <c r="F104" s="132">
        <f t="shared" si="107"/>
        <v>0.375</v>
      </c>
      <c r="G104" s="132">
        <f t="shared" si="107"/>
        <v>0.37673130193905813</v>
      </c>
      <c r="H104" s="132">
        <f t="shared" si="107"/>
        <v>0.40318302387267907</v>
      </c>
      <c r="I104" s="132">
        <f t="shared" si="107"/>
        <v>0.4</v>
      </c>
      <c r="J104" s="132">
        <f t="shared" ref="J104:M104" si="108">J125/J105</f>
        <v>0.28000000000000003</v>
      </c>
      <c r="K104" s="132">
        <f t="shared" si="108"/>
        <v>0.27768860353130015</v>
      </c>
      <c r="L104" s="132">
        <f t="shared" si="108"/>
        <v>0.2857142857142857</v>
      </c>
      <c r="M104" s="132">
        <f t="shared" si="108"/>
        <v>0.27066450567260941</v>
      </c>
    </row>
    <row r="105" spans="1:13" ht="15" customHeight="1">
      <c r="A105" s="130" t="s">
        <v>473</v>
      </c>
      <c r="B105" s="132">
        <f t="shared" ref="B105:I105" si="109">B800</f>
        <v>6.4500000000000002E-2</v>
      </c>
      <c r="C105" s="132">
        <f t="shared" si="109"/>
        <v>6.5000000000000002E-2</v>
      </c>
      <c r="D105" s="132">
        <f t="shared" si="109"/>
        <v>6.9800000000000001E-2</v>
      </c>
      <c r="E105" s="132">
        <f t="shared" si="109"/>
        <v>7.0999999999999994E-2</v>
      </c>
      <c r="F105" s="132">
        <f t="shared" si="109"/>
        <v>7.1999999999999995E-2</v>
      </c>
      <c r="G105" s="132">
        <f t="shared" si="109"/>
        <v>7.22E-2</v>
      </c>
      <c r="H105" s="132">
        <f t="shared" si="109"/>
        <v>7.5399999999999995E-2</v>
      </c>
      <c r="I105" s="132">
        <f t="shared" si="109"/>
        <v>7.4999999999999997E-2</v>
      </c>
      <c r="J105" s="132">
        <f t="shared" ref="J105:M105" si="110">J800</f>
        <v>6.25E-2</v>
      </c>
      <c r="K105" s="132">
        <f t="shared" si="110"/>
        <v>6.2299999999999994E-2</v>
      </c>
      <c r="L105" s="132">
        <f t="shared" si="110"/>
        <v>6.3E-2</v>
      </c>
      <c r="M105" s="132">
        <f t="shared" si="110"/>
        <v>6.1699999999999998E-2</v>
      </c>
    </row>
    <row r="106" spans="1:13" ht="15" customHeight="1">
      <c r="A106" s="130"/>
      <c r="B106" s="126"/>
      <c r="C106" s="126"/>
      <c r="D106" s="126"/>
      <c r="E106" s="126"/>
      <c r="F106" s="126"/>
      <c r="G106" s="126"/>
      <c r="H106" s="126"/>
      <c r="I106" s="126"/>
      <c r="J106" s="126"/>
      <c r="K106" s="126"/>
      <c r="L106" s="126"/>
      <c r="M106" s="126"/>
    </row>
    <row r="107" spans="1:13" ht="15" customHeight="1">
      <c r="A107" s="130" t="s">
        <v>472</v>
      </c>
      <c r="B107" s="127" t="str">
        <f t="shared" ref="B107:I107" si="111">IF(B116&gt;B125,"NOPE. NOT POSSIBLE. NO WAY.. GROWTH &gt; RISK FREE RATE"," ")</f>
        <v xml:space="preserve"> </v>
      </c>
      <c r="C107" s="127" t="str">
        <f t="shared" si="111"/>
        <v xml:space="preserve"> </v>
      </c>
      <c r="D107" s="127" t="str">
        <f t="shared" si="111"/>
        <v xml:space="preserve"> </v>
      </c>
      <c r="E107" s="127" t="str">
        <f t="shared" si="111"/>
        <v xml:space="preserve"> </v>
      </c>
      <c r="F107" s="127" t="str">
        <f t="shared" si="111"/>
        <v xml:space="preserve"> </v>
      </c>
      <c r="G107" s="127" t="str">
        <f t="shared" si="111"/>
        <v xml:space="preserve"> </v>
      </c>
      <c r="H107" s="127" t="str">
        <f t="shared" si="111"/>
        <v xml:space="preserve"> </v>
      </c>
      <c r="I107" s="127" t="str">
        <f t="shared" si="111"/>
        <v xml:space="preserve"> </v>
      </c>
      <c r="J107" s="127" t="str">
        <f t="shared" ref="J107:M107" si="112">IF(J116&gt;J125,"NOPE. NOT POSSIBLE. NO WAY.. GROWTH &gt; RISK FREE RATE"," ")</f>
        <v xml:space="preserve"> </v>
      </c>
      <c r="K107" s="127" t="str">
        <f t="shared" si="112"/>
        <v xml:space="preserve"> </v>
      </c>
      <c r="L107" s="127" t="str">
        <f t="shared" si="112"/>
        <v xml:space="preserve"> </v>
      </c>
      <c r="M107" s="127" t="str">
        <f t="shared" si="112"/>
        <v xml:space="preserve"> </v>
      </c>
    </row>
    <row r="108" spans="1:13" ht="15" customHeight="1">
      <c r="A108" s="142">
        <v>0.05</v>
      </c>
      <c r="B108" s="131" t="str">
        <f t="shared" ref="B108:I108" ca="1" si="113">IF(B113&lt;B115,"You are destroying value forever. Is that intentional?",(IF((B113&gt;B115+$A108),"Your ROIC exceeds your cost of capital by more than "&amp;TEXT($A108,"0.0%")&amp;" in perpetuity. Tough to do!","We can live with this ROIC. Can you?")))</f>
        <v>We can live with this ROIC. Can you?</v>
      </c>
      <c r="C108" s="131" t="str">
        <f t="shared" ca="1" si="113"/>
        <v>We can live with this ROIC. Can you?</v>
      </c>
      <c r="D108" s="131" t="str">
        <f t="shared" ca="1" si="113"/>
        <v>We can live with this ROIC. Can you?</v>
      </c>
      <c r="E108" s="131" t="str">
        <f t="shared" ca="1" si="113"/>
        <v>We can live with this ROIC. Can you?</v>
      </c>
      <c r="F108" s="131" t="str">
        <f t="shared" ca="1" si="113"/>
        <v>We can live with this ROIC. Can you?</v>
      </c>
      <c r="G108" s="131" t="str">
        <f t="shared" ca="1" si="113"/>
        <v>We can live with this ROIC. Can you?</v>
      </c>
      <c r="H108" s="131" t="str">
        <f t="shared" ca="1" si="113"/>
        <v>We can live with this ROIC. Can you?</v>
      </c>
      <c r="I108" s="131" t="str">
        <f t="shared" ca="1" si="113"/>
        <v>We can live with this ROIC. Can you?</v>
      </c>
      <c r="J108" s="131" t="str">
        <f t="shared" ref="J108:M108" ca="1" si="114">IF(J113&lt;J115,"You are destroying value forever. Is that intentional?",(IF((J113&gt;J115+$A108),"Your ROIC exceeds your cost of capital by more than "&amp;TEXT($A108,"0.0%")&amp;" in perpetuity. Tough to do!","We can live with this ROIC. Can you?")))</f>
        <v>We can live with this ROIC. Can you?</v>
      </c>
      <c r="K108" s="131" t="str">
        <f t="shared" ca="1" si="114"/>
        <v>We can live with this ROIC. Can you?</v>
      </c>
      <c r="L108" s="131" t="str">
        <f t="shared" ca="1" si="114"/>
        <v>We can live with this ROIC. Can you?</v>
      </c>
      <c r="M108" s="131" t="str">
        <f t="shared" ca="1" si="114"/>
        <v>We can live with this ROIC. Can you?</v>
      </c>
    </row>
    <row r="109" spans="1:13" ht="15" customHeight="1">
      <c r="A109" s="130" t="s">
        <v>471</v>
      </c>
      <c r="B109" s="127" t="str">
        <f t="shared" ref="B109:I109" ca="1" si="115">IF((1-B119/B120)&lt;B123,"Your effective tax in perpetuity &lt; marginal tax rate. Can you defer taxes forever?"," ")</f>
        <v xml:space="preserve"> </v>
      </c>
      <c r="C109" s="127" t="str">
        <f t="shared" ca="1" si="115"/>
        <v xml:space="preserve"> </v>
      </c>
      <c r="D109" s="127" t="str">
        <f t="shared" ca="1" si="115"/>
        <v xml:space="preserve"> </v>
      </c>
      <c r="E109" s="127" t="str">
        <f t="shared" ca="1" si="115"/>
        <v xml:space="preserve"> </v>
      </c>
      <c r="F109" s="127" t="str">
        <f t="shared" ca="1" si="115"/>
        <v xml:space="preserve"> </v>
      </c>
      <c r="G109" s="127" t="str">
        <f t="shared" ca="1" si="115"/>
        <v xml:space="preserve"> </v>
      </c>
      <c r="H109" s="127" t="str">
        <f t="shared" ca="1" si="115"/>
        <v xml:space="preserve"> </v>
      </c>
      <c r="I109" s="127" t="str">
        <f t="shared" ca="1" si="115"/>
        <v xml:space="preserve"> </v>
      </c>
      <c r="J109" s="127" t="str">
        <f t="shared" ref="J109:M109" ca="1" si="116">IF((1-J119/J120)&lt;J123,"Your effective tax in perpetuity &lt; marginal tax rate. Can you defer taxes forever?"," ")</f>
        <v xml:space="preserve"> </v>
      </c>
      <c r="K109" s="127" t="str">
        <f t="shared" ca="1" si="116"/>
        <v xml:space="preserve"> </v>
      </c>
      <c r="L109" s="127" t="str">
        <f t="shared" ca="1" si="116"/>
        <v xml:space="preserve"> </v>
      </c>
      <c r="M109" s="127" t="str">
        <f t="shared" ca="1" si="116"/>
        <v xml:space="preserve"> </v>
      </c>
    </row>
    <row r="110" spans="1:13" ht="15" customHeight="1">
      <c r="A110" s="130" t="s">
        <v>470</v>
      </c>
      <c r="B110" s="127" t="str">
        <f t="shared" ref="B110:I110" ca="1" si="117">IF(B115=B122,"The cost of capital in stable growth = cost of capital in high growth. Why is it not changing as your growth changes?"," ")</f>
        <v xml:space="preserve"> </v>
      </c>
      <c r="C110" s="127" t="str">
        <f t="shared" ca="1" si="117"/>
        <v xml:space="preserve"> </v>
      </c>
      <c r="D110" s="127" t="str">
        <f t="shared" ca="1" si="117"/>
        <v xml:space="preserve"> </v>
      </c>
      <c r="E110" s="127" t="str">
        <f t="shared" ca="1" si="117"/>
        <v xml:space="preserve"> </v>
      </c>
      <c r="F110" s="127" t="str">
        <f t="shared" ca="1" si="117"/>
        <v xml:space="preserve"> </v>
      </c>
      <c r="G110" s="127" t="str">
        <f t="shared" ca="1" si="117"/>
        <v xml:space="preserve"> </v>
      </c>
      <c r="H110" s="127" t="str">
        <f t="shared" ca="1" si="117"/>
        <v xml:space="preserve"> </v>
      </c>
      <c r="I110" s="127" t="str">
        <f t="shared" ca="1" si="117"/>
        <v xml:space="preserve"> </v>
      </c>
      <c r="J110" s="127" t="str">
        <f t="shared" ref="J110:M110" ca="1" si="118">IF(J115=J122,"The cost of capital in stable growth = cost of capital in high growth. Why is it not changing as your growth changes?"," ")</f>
        <v xml:space="preserve"> </v>
      </c>
      <c r="K110" s="127" t="str">
        <f t="shared" ca="1" si="118"/>
        <v xml:space="preserve"> </v>
      </c>
      <c r="L110" s="127" t="str">
        <f t="shared" ca="1" si="118"/>
        <v xml:space="preserve"> </v>
      </c>
      <c r="M110" s="127" t="str">
        <f t="shared" ca="1" si="118"/>
        <v xml:space="preserve"> </v>
      </c>
    </row>
    <row r="112" spans="1:13" ht="15" customHeight="1">
      <c r="A112" s="130" t="s">
        <v>469</v>
      </c>
      <c r="B112" s="132">
        <f t="shared" ref="B112:I112" ca="1" si="119">1-B118/B119</f>
        <v>0.16249999999999998</v>
      </c>
      <c r="C112" s="132">
        <f t="shared" ca="1" si="119"/>
        <v>0.16666666666666663</v>
      </c>
      <c r="D112" s="132">
        <f t="shared" ca="1" si="119"/>
        <v>0.20666666666666667</v>
      </c>
      <c r="E112" s="132">
        <f t="shared" ca="1" si="119"/>
        <v>0.21666666666666667</v>
      </c>
      <c r="F112" s="132">
        <f t="shared" ca="1" si="119"/>
        <v>0.22499999999999998</v>
      </c>
      <c r="G112" s="132">
        <f t="shared" ca="1" si="119"/>
        <v>0.22666666666666668</v>
      </c>
      <c r="H112" s="132">
        <f t="shared" ca="1" si="119"/>
        <v>0.38000000000000012</v>
      </c>
      <c r="I112" s="132">
        <f t="shared" ca="1" si="119"/>
        <v>0.25</v>
      </c>
      <c r="J112" s="132">
        <f t="shared" ref="J112:M112" ca="1" si="120">1-J118/J119</f>
        <v>0.14583333333333326</v>
      </c>
      <c r="K112" s="132">
        <f t="shared" ca="1" si="120"/>
        <v>0.14416666666666655</v>
      </c>
      <c r="L112" s="132">
        <f t="shared" ca="1" si="120"/>
        <v>0.22499999999999998</v>
      </c>
      <c r="M112" s="132">
        <f t="shared" ca="1" si="120"/>
        <v>0.13916666666666677</v>
      </c>
    </row>
    <row r="113" spans="1:13" ht="15" customHeight="1">
      <c r="A113" s="130" t="s">
        <v>468</v>
      </c>
      <c r="B113" s="132">
        <f t="shared" ref="B113:I113" ca="1" si="121">IF(B112&gt;0,IF(B116&gt;0,B116/B112,"Why are you investing with no growth?"),IF(B116&gt;0,"Miracles can happen but you cannot grow without reinvesting","Not meaningful"))</f>
        <v>0.12000000000000001</v>
      </c>
      <c r="C113" s="132">
        <f t="shared" ca="1" si="121"/>
        <v>0.12000000000000002</v>
      </c>
      <c r="D113" s="132">
        <f t="shared" ca="1" si="121"/>
        <v>0.12</v>
      </c>
      <c r="E113" s="132">
        <f t="shared" ca="1" si="121"/>
        <v>0.12</v>
      </c>
      <c r="F113" s="132">
        <f t="shared" ca="1" si="121"/>
        <v>0.12000000000000001</v>
      </c>
      <c r="G113" s="132">
        <f t="shared" ca="1" si="121"/>
        <v>0.11999999999999998</v>
      </c>
      <c r="H113" s="132">
        <f t="shared" ca="1" si="121"/>
        <v>7.9999999999999974E-2</v>
      </c>
      <c r="I113" s="132">
        <f t="shared" ca="1" si="121"/>
        <v>0.12</v>
      </c>
      <c r="J113" s="132">
        <f t="shared" ref="J113:M113" ca="1" si="122">IF(J112&gt;0,IF(J116&gt;0,J116/J112,"Why are you investing with no growth?"),IF(J116&gt;0,"Miracles can happen but you cannot grow without reinvesting","Not meaningful"))</f>
        <v>0.12000000000000008</v>
      </c>
      <c r="K113" s="132">
        <f t="shared" ca="1" si="122"/>
        <v>0.12000000000000009</v>
      </c>
      <c r="L113" s="132">
        <f t="shared" ca="1" si="122"/>
        <v>0.08</v>
      </c>
      <c r="M113" s="132">
        <f t="shared" ca="1" si="122"/>
        <v>0.11999999999999991</v>
      </c>
    </row>
    <row r="115" spans="1:13" ht="15" customHeight="1">
      <c r="A115" s="130" t="s">
        <v>467</v>
      </c>
      <c r="B115" s="134">
        <f t="shared" ref="B115:I115" si="123">B146</f>
        <v>0.08</v>
      </c>
      <c r="C115" s="134">
        <f t="shared" si="123"/>
        <v>0.08</v>
      </c>
      <c r="D115" s="134">
        <f t="shared" si="123"/>
        <v>0.08</v>
      </c>
      <c r="E115" s="134">
        <f t="shared" si="123"/>
        <v>0.08</v>
      </c>
      <c r="F115" s="134">
        <f t="shared" si="123"/>
        <v>0.08</v>
      </c>
      <c r="G115" s="134">
        <f t="shared" si="123"/>
        <v>0.08</v>
      </c>
      <c r="H115" s="134">
        <f t="shared" si="123"/>
        <v>0.08</v>
      </c>
      <c r="I115" s="134">
        <f t="shared" si="123"/>
        <v>0.08</v>
      </c>
      <c r="J115" s="134">
        <f t="shared" ref="J115:M115" si="124">J146</f>
        <v>0.08</v>
      </c>
      <c r="K115" s="134">
        <f t="shared" si="124"/>
        <v>0.08</v>
      </c>
      <c r="L115" s="134">
        <f t="shared" si="124"/>
        <v>0.08</v>
      </c>
      <c r="M115" s="134">
        <f t="shared" si="124"/>
        <v>0.08</v>
      </c>
    </row>
    <row r="116" spans="1:13" ht="15" customHeight="1">
      <c r="A116" s="130" t="s">
        <v>460</v>
      </c>
      <c r="B116" s="135">
        <f t="shared" ref="B116:I116" si="125">B802</f>
        <v>1.95E-2</v>
      </c>
      <c r="C116" s="135">
        <f t="shared" si="125"/>
        <v>0.02</v>
      </c>
      <c r="D116" s="135">
        <f t="shared" si="125"/>
        <v>2.4799999999999999E-2</v>
      </c>
      <c r="E116" s="135">
        <f t="shared" si="125"/>
        <v>2.5999999999999999E-2</v>
      </c>
      <c r="F116" s="135">
        <f t="shared" si="125"/>
        <v>2.7E-2</v>
      </c>
      <c r="G116" s="135">
        <f t="shared" si="125"/>
        <v>2.7199999999999998E-2</v>
      </c>
      <c r="H116" s="135">
        <f t="shared" si="125"/>
        <v>3.04E-2</v>
      </c>
      <c r="I116" s="135">
        <f t="shared" si="125"/>
        <v>0.03</v>
      </c>
      <c r="J116" s="135">
        <f t="shared" ref="J116:M116" si="126">J802</f>
        <v>1.7500000000000002E-2</v>
      </c>
      <c r="K116" s="135">
        <f t="shared" si="126"/>
        <v>1.7299999999999999E-2</v>
      </c>
      <c r="L116" s="135">
        <f t="shared" si="126"/>
        <v>1.7999999999999999E-2</v>
      </c>
      <c r="M116" s="135">
        <f t="shared" si="126"/>
        <v>1.67E-2</v>
      </c>
    </row>
    <row r="117" spans="1:13" ht="15" customHeight="1">
      <c r="A117" s="130"/>
    </row>
    <row r="118" spans="1:13" ht="15" customHeight="1">
      <c r="A118" s="130" t="s">
        <v>466</v>
      </c>
      <c r="B118" s="124">
        <f t="shared" ref="B118:I118" ca="1" si="127">B145</f>
        <v>40422.916093000938</v>
      </c>
      <c r="C118" s="124">
        <f t="shared" ca="1" si="127"/>
        <v>37951.922851353236</v>
      </c>
      <c r="D118" s="124">
        <f t="shared" ca="1" si="127"/>
        <v>33679.644336497644</v>
      </c>
      <c r="E118" s="124">
        <f t="shared" ca="1" si="127"/>
        <v>31543.089804657597</v>
      </c>
      <c r="F118" s="124">
        <f t="shared" ca="1" si="127"/>
        <v>30958.154357493393</v>
      </c>
      <c r="G118" s="124">
        <f t="shared" ca="1" si="127"/>
        <v>30556.79275746498</v>
      </c>
      <c r="H118" s="124">
        <f t="shared" ca="1" si="127"/>
        <v>24364.784626007655</v>
      </c>
      <c r="I118" s="124">
        <f t="shared" ca="1" si="127"/>
        <v>31192.836070006346</v>
      </c>
      <c r="J118" s="124">
        <f t="shared" ref="J118:M118" ca="1" si="128">J145</f>
        <v>33780.236963661693</v>
      </c>
      <c r="K118" s="124">
        <f t="shared" ca="1" si="128"/>
        <v>32936.342350346051</v>
      </c>
      <c r="L118" s="124">
        <f t="shared" ca="1" si="128"/>
        <v>36455.85514655256</v>
      </c>
      <c r="M118" s="124">
        <f t="shared" ca="1" si="128"/>
        <v>53445.321412718491</v>
      </c>
    </row>
    <row r="119" spans="1:13" ht="15" customHeight="1">
      <c r="A119" s="130" t="s">
        <v>465</v>
      </c>
      <c r="B119" s="124">
        <f t="shared" ref="B119:I119" ca="1" si="129">B150</f>
        <v>48266.168469254852</v>
      </c>
      <c r="C119" s="124">
        <f t="shared" ca="1" si="129"/>
        <v>45542.307421623882</v>
      </c>
      <c r="D119" s="124">
        <f t="shared" ca="1" si="129"/>
        <v>42453.333197265936</v>
      </c>
      <c r="E119" s="124">
        <f t="shared" ca="1" si="129"/>
        <v>40267.774218711827</v>
      </c>
      <c r="F119" s="124">
        <f t="shared" ca="1" si="129"/>
        <v>39946.00562257212</v>
      </c>
      <c r="G119" s="124">
        <f t="shared" ca="1" si="129"/>
        <v>39513.094082928852</v>
      </c>
      <c r="H119" s="124">
        <f t="shared" ca="1" si="129"/>
        <v>39298.039719367196</v>
      </c>
      <c r="I119" s="124">
        <f t="shared" ca="1" si="129"/>
        <v>41590.448093341794</v>
      </c>
      <c r="J119" s="124">
        <f t="shared" ref="J119:M119" ca="1" si="130">J150</f>
        <v>39547.594494042954</v>
      </c>
      <c r="K119" s="124">
        <f t="shared" ca="1" si="130"/>
        <v>38484.528549576688</v>
      </c>
      <c r="L119" s="124">
        <f t="shared" ca="1" si="130"/>
        <v>47039.81309232588</v>
      </c>
      <c r="M119" s="124">
        <f t="shared" ca="1" si="130"/>
        <v>62085.562144493895</v>
      </c>
    </row>
    <row r="120" spans="1:13" ht="15" customHeight="1">
      <c r="A120" s="130" t="s">
        <v>464</v>
      </c>
      <c r="B120" s="124">
        <f t="shared" ref="B120:I120" ca="1" si="131">B153</f>
        <v>75415.888233210702</v>
      </c>
      <c r="C120" s="124">
        <f t="shared" ca="1" si="131"/>
        <v>71159.85534628731</v>
      </c>
      <c r="D120" s="124">
        <f t="shared" ca="1" si="131"/>
        <v>66333.333120728028</v>
      </c>
      <c r="E120" s="124">
        <f t="shared" ca="1" si="131"/>
        <v>64948.022933406173</v>
      </c>
      <c r="F120" s="124">
        <f t="shared" ca="1" si="131"/>
        <v>64429.041326729224</v>
      </c>
      <c r="G120" s="124">
        <f t="shared" ca="1" si="131"/>
        <v>63730.796907949756</v>
      </c>
      <c r="H120" s="124">
        <f t="shared" ca="1" si="131"/>
        <v>63383.935031237415</v>
      </c>
      <c r="I120" s="124">
        <f t="shared" ca="1" si="131"/>
        <v>67081.367892486771</v>
      </c>
      <c r="J120" s="124">
        <f t="shared" ref="J120:M120" ca="1" si="132">J153</f>
        <v>63786.442732327341</v>
      </c>
      <c r="K120" s="124">
        <f t="shared" ca="1" si="132"/>
        <v>62071.820241252717</v>
      </c>
      <c r="L120" s="124">
        <f t="shared" ca="1" si="132"/>
        <v>75870.666277944969</v>
      </c>
      <c r="M120" s="124">
        <f t="shared" ca="1" si="132"/>
        <v>95516.249453067532</v>
      </c>
    </row>
    <row r="122" spans="1:13" ht="15" customHeight="1">
      <c r="A122" s="130" t="s">
        <v>463</v>
      </c>
      <c r="B122" s="134">
        <f t="shared" ref="B122:M122" ca="1" si="133">B$221</f>
        <v>8.5616478250876329E-2</v>
      </c>
      <c r="C122" s="134">
        <f t="shared" ca="1" si="133"/>
        <v>8.6399225155159756E-2</v>
      </c>
      <c r="D122" s="134">
        <f t="shared" ca="1" si="133"/>
        <v>9.239676427316143E-2</v>
      </c>
      <c r="E122" s="134">
        <f t="shared" ca="1" si="133"/>
        <v>0.10740672303923111</v>
      </c>
      <c r="F122" s="134">
        <f t="shared" ca="1" si="133"/>
        <v>0.10008009908896695</v>
      </c>
      <c r="G122" s="134">
        <f t="shared" ca="1" si="133"/>
        <v>0.10029247285368061</v>
      </c>
      <c r="H122" s="134">
        <f t="shared" ca="1" si="133"/>
        <v>0.10154649937414874</v>
      </c>
      <c r="I122" s="134">
        <f t="shared" ca="1" si="133"/>
        <v>0.11800171037140457</v>
      </c>
      <c r="J122" s="134">
        <f t="shared" ca="1" si="133"/>
        <v>0.11667035007978127</v>
      </c>
      <c r="K122" s="134">
        <f t="shared" ca="1" si="133"/>
        <v>0.1167052809580631</v>
      </c>
      <c r="L122" s="134">
        <f t="shared" ca="1" si="133"/>
        <v>0.12481249198950628</v>
      </c>
      <c r="M122" s="134">
        <f t="shared" ca="1" si="133"/>
        <v>0.12366717322736231</v>
      </c>
    </row>
    <row r="123" spans="1:13" ht="15" customHeight="1">
      <c r="A123" s="130" t="s">
        <v>24</v>
      </c>
      <c r="B123" s="129">
        <f t="shared" ref="B123:M123" si="134">B$547</f>
        <v>0.36</v>
      </c>
      <c r="C123" s="129">
        <f t="shared" si="134"/>
        <v>0.36</v>
      </c>
      <c r="D123" s="129">
        <f t="shared" si="134"/>
        <v>0.36</v>
      </c>
      <c r="E123" s="129">
        <f t="shared" si="134"/>
        <v>0.38</v>
      </c>
      <c r="F123" s="129">
        <f t="shared" si="134"/>
        <v>0.38</v>
      </c>
      <c r="G123" s="129">
        <f t="shared" si="134"/>
        <v>0.38</v>
      </c>
      <c r="H123" s="129">
        <f t="shared" si="134"/>
        <v>0.38</v>
      </c>
      <c r="I123" s="129">
        <f t="shared" si="134"/>
        <v>0.38</v>
      </c>
      <c r="J123" s="129">
        <f t="shared" si="134"/>
        <v>0.38</v>
      </c>
      <c r="K123" s="129">
        <f t="shared" si="134"/>
        <v>0.38</v>
      </c>
      <c r="L123" s="129">
        <f t="shared" si="134"/>
        <v>0.38</v>
      </c>
      <c r="M123" s="129">
        <f t="shared" si="134"/>
        <v>0.35</v>
      </c>
    </row>
    <row r="124" spans="1:13" ht="15" customHeight="1">
      <c r="A124" s="130" t="s">
        <v>462</v>
      </c>
      <c r="B124" s="129">
        <f t="shared" ref="B124:M124" ca="1" si="135">B$318</f>
        <v>0.26906916612798965</v>
      </c>
      <c r="C124" s="129">
        <f t="shared" ca="1" si="135"/>
        <v>0.26179554390563564</v>
      </c>
      <c r="D124" s="129">
        <f t="shared" ca="1" si="135"/>
        <v>0.26194211994421202</v>
      </c>
      <c r="E124" s="129">
        <f t="shared" ca="1" si="135"/>
        <v>0.2620963710886734</v>
      </c>
      <c r="F124" s="129">
        <f t="shared" ca="1" si="135"/>
        <v>0.2611</v>
      </c>
      <c r="G124" s="129">
        <f t="shared" ca="1" si="135"/>
        <v>0.26184425998080074</v>
      </c>
      <c r="H124" s="129">
        <f t="shared" ca="1" si="135"/>
        <v>0.26150000000000001</v>
      </c>
      <c r="I124" s="129">
        <f t="shared" ca="1" si="135"/>
        <v>0.2620963710886734</v>
      </c>
      <c r="J124" s="129">
        <f t="shared" ca="1" si="135"/>
        <v>0.2601</v>
      </c>
      <c r="K124" s="129">
        <f t="shared" ca="1" si="135"/>
        <v>0.25995925758261657</v>
      </c>
      <c r="L124" s="129">
        <f t="shared" ca="1" si="135"/>
        <v>0.25160052364471064</v>
      </c>
      <c r="M124" s="129">
        <f t="shared" ca="1" si="135"/>
        <v>0.25604923699519433</v>
      </c>
    </row>
    <row r="125" spans="1:13" ht="15" customHeight="1">
      <c r="A125" s="130" t="s">
        <v>461</v>
      </c>
      <c r="B125" s="134">
        <f t="shared" ref="B125:I125" si="136">B564</f>
        <v>1.95E-2</v>
      </c>
      <c r="C125" s="134">
        <f t="shared" si="136"/>
        <v>0.02</v>
      </c>
      <c r="D125" s="134">
        <f t="shared" si="136"/>
        <v>2.4799999999999999E-2</v>
      </c>
      <c r="E125" s="134">
        <f t="shared" si="136"/>
        <v>2.5999999999999999E-2</v>
      </c>
      <c r="F125" s="134">
        <f t="shared" si="136"/>
        <v>2.7E-2</v>
      </c>
      <c r="G125" s="134">
        <f t="shared" si="136"/>
        <v>2.7199999999999998E-2</v>
      </c>
      <c r="H125" s="134">
        <f t="shared" si="136"/>
        <v>3.04E-2</v>
      </c>
      <c r="I125" s="134">
        <f t="shared" si="136"/>
        <v>0.03</v>
      </c>
      <c r="J125" s="134">
        <f t="shared" ref="J125:M125" si="137">J564</f>
        <v>1.7500000000000002E-2</v>
      </c>
      <c r="K125" s="134">
        <f t="shared" si="137"/>
        <v>1.7299999999999999E-2</v>
      </c>
      <c r="L125" s="134">
        <f t="shared" si="137"/>
        <v>1.7999999999999999E-2</v>
      </c>
      <c r="M125" s="134">
        <f t="shared" si="137"/>
        <v>1.67E-2</v>
      </c>
    </row>
    <row r="126" spans="1:13" ht="15" customHeight="1">
      <c r="B126" s="50"/>
      <c r="C126" s="50"/>
      <c r="D126" s="50"/>
      <c r="E126" s="50"/>
      <c r="F126" s="50"/>
      <c r="G126" s="50"/>
      <c r="H126" s="50"/>
      <c r="I126" s="50"/>
      <c r="J126" s="50"/>
      <c r="K126" s="50"/>
      <c r="L126" s="50"/>
      <c r="M126" s="50"/>
    </row>
    <row r="127" spans="1:13" ht="15" customHeight="1">
      <c r="A127" s="106" t="s">
        <v>410</v>
      </c>
      <c r="B127" s="27"/>
      <c r="C127" s="27"/>
      <c r="D127" s="27"/>
      <c r="E127" s="27"/>
      <c r="F127" s="27"/>
      <c r="G127" s="27"/>
      <c r="H127" s="27"/>
      <c r="I127" s="27"/>
      <c r="J127" s="27"/>
      <c r="K127" s="27"/>
      <c r="L127" s="27"/>
      <c r="M127" s="27"/>
    </row>
    <row r="128" spans="1:13" ht="15" customHeight="1">
      <c r="A128" s="3" t="s">
        <v>411</v>
      </c>
      <c r="B128" s="7">
        <f t="shared" ref="B128:I128" ca="1" si="138">B11</f>
        <v>0.9438111246924028</v>
      </c>
      <c r="C128" s="7">
        <f t="shared" ca="1" si="138"/>
        <v>1.0644273253468428</v>
      </c>
      <c r="D128" s="7">
        <f t="shared" ca="1" si="138"/>
        <v>0.93947649581844384</v>
      </c>
      <c r="E128" s="7">
        <f t="shared" ca="1" si="138"/>
        <v>0.94726886166582824</v>
      </c>
      <c r="F128" s="7">
        <f t="shared" ca="1" si="138"/>
        <v>0.80652807625270451</v>
      </c>
      <c r="G128" s="7">
        <f t="shared" ca="1" si="138"/>
        <v>0.80568794218047002</v>
      </c>
      <c r="H128" s="7">
        <f t="shared" ca="1" si="138"/>
        <v>0.8235015521741943</v>
      </c>
      <c r="I128" s="7">
        <f t="shared" ca="1" si="138"/>
        <v>0.80096289818353139</v>
      </c>
      <c r="J128" s="7">
        <f t="shared" ref="J128:M128" ca="1" si="139">J11</f>
        <v>0.69483271174467587</v>
      </c>
      <c r="K128" s="7">
        <f t="shared" ca="1" si="139"/>
        <v>0.85946744155778332</v>
      </c>
      <c r="L128" s="7">
        <f t="shared" ca="1" si="139"/>
        <v>0.84012520674493951</v>
      </c>
      <c r="M128" s="7">
        <f t="shared" ca="1" si="139"/>
        <v>0.87690845613313706</v>
      </c>
    </row>
    <row r="129" spans="1:13" ht="15" customHeight="1">
      <c r="A129" s="102" t="s">
        <v>476</v>
      </c>
      <c r="B129" s="36">
        <f t="shared" ref="B129:M129" ca="1" si="140">(1/OFFSET(B$206,B$160,0))^(1/B$160)-1</f>
        <v>8.392964131570424E-2</v>
      </c>
      <c r="C129" s="36">
        <f t="shared" ca="1" si="140"/>
        <v>8.4477000517778622E-2</v>
      </c>
      <c r="D129" s="36">
        <f t="shared" ca="1" si="140"/>
        <v>8.8668540059216205E-2</v>
      </c>
      <c r="E129" s="36">
        <f t="shared" ca="1" si="140"/>
        <v>9.914008101365468E-2</v>
      </c>
      <c r="F129" s="36">
        <f t="shared" ca="1" si="140"/>
        <v>9.4032031842942621E-2</v>
      </c>
      <c r="G129" s="36">
        <f t="shared" ca="1" si="140"/>
        <v>9.4180184783962728E-2</v>
      </c>
      <c r="H129" s="36">
        <f t="shared" ca="1" si="140"/>
        <v>9.5054892121895218E-2</v>
      </c>
      <c r="I129" s="36">
        <f t="shared" ca="1" si="140"/>
        <v>0.10651582313775276</v>
      </c>
      <c r="J129" s="36">
        <f t="shared" ca="1" si="140"/>
        <v>0.10558969898044945</v>
      </c>
      <c r="K129" s="36">
        <f t="shared" ca="1" si="140"/>
        <v>0.10561400027172874</v>
      </c>
      <c r="L129" s="36">
        <f t="shared" ca="1" si="140"/>
        <v>0.11125040002770636</v>
      </c>
      <c r="M129" s="36">
        <f t="shared" ca="1" si="140"/>
        <v>0.11045458935297603</v>
      </c>
    </row>
    <row r="131" spans="1:13" ht="15" customHeight="1">
      <c r="A131" s="102" t="s">
        <v>414</v>
      </c>
      <c r="B131" s="36">
        <f t="shared" ref="B131:M131" ca="1" si="141">OFFSET(B$234,B$160,0)</f>
        <v>1.0419813513516898</v>
      </c>
      <c r="C131" s="36">
        <f t="shared" ca="1" si="141"/>
        <v>0.95429141813518825</v>
      </c>
      <c r="D131" s="36">
        <f t="shared" ca="1" si="141"/>
        <v>0.81158691987504616</v>
      </c>
      <c r="E131" s="36">
        <f t="shared" ca="1" si="141"/>
        <v>1.7652580158106443</v>
      </c>
      <c r="F131" s="36">
        <f t="shared" ca="1" si="141"/>
        <v>1.1185574937074616</v>
      </c>
      <c r="G131" s="36">
        <f t="shared" ca="1" si="141"/>
        <v>1.0859583862410107</v>
      </c>
      <c r="H131" s="36">
        <f t="shared" ca="1" si="141"/>
        <v>0.92012035956375948</v>
      </c>
      <c r="I131" s="36">
        <f t="shared" ca="1" si="141"/>
        <v>0.95096880442781673</v>
      </c>
      <c r="J131" s="36">
        <f t="shared" ca="1" si="141"/>
        <v>1.1692599540406778</v>
      </c>
      <c r="K131" s="36">
        <f t="shared" ca="1" si="141"/>
        <v>1.2803568197542603</v>
      </c>
      <c r="L131" s="36">
        <f t="shared" ca="1" si="141"/>
        <v>1.2095069009340877</v>
      </c>
      <c r="M131" s="36">
        <f t="shared" ca="1" si="141"/>
        <v>0.38936204802975377</v>
      </c>
    </row>
    <row r="132" spans="1:13" ht="15" customHeight="1">
      <c r="A132" s="102" t="s">
        <v>416</v>
      </c>
      <c r="B132" s="36">
        <f t="shared" ref="B132:I132" ca="1" si="142">IF(B135=0,#N/A,B134/B135)</f>
        <v>-7.8870953152142667E-2</v>
      </c>
      <c r="C132" s="36">
        <f t="shared" ca="1" si="142"/>
        <v>-6.3745974305039921E-2</v>
      </c>
      <c r="D132" s="36">
        <f t="shared" ca="1" si="142"/>
        <v>-1.7313275593977943E-2</v>
      </c>
      <c r="E132" s="36">
        <f t="shared" ca="1" si="142"/>
        <v>-5.5984047392487163E-2</v>
      </c>
      <c r="F132" s="36">
        <f t="shared" ca="1" si="142"/>
        <v>-3.6942120271695078E-2</v>
      </c>
      <c r="G132" s="36">
        <f t="shared" ca="1" si="142"/>
        <v>-1.7531668604968777E-2</v>
      </c>
      <c r="H132" s="36">
        <f t="shared" ca="1" si="142"/>
        <v>-2.4024794999768593E-2</v>
      </c>
      <c r="I132" s="36">
        <f t="shared" ca="1" si="142"/>
        <v>3.8054057789917071E-2</v>
      </c>
      <c r="J132" s="36">
        <f t="shared" ref="J132:M132" ca="1" si="143">IF(J135=0,#N/A,J134/J135)</f>
        <v>-4.1660501645767782E-2</v>
      </c>
      <c r="K132" s="36">
        <f t="shared" ca="1" si="143"/>
        <v>-0.13845999363961026</v>
      </c>
      <c r="L132" s="36">
        <f t="shared" ca="1" si="143"/>
        <v>0.14103183079844508</v>
      </c>
      <c r="M132" s="36">
        <f t="shared" ca="1" si="143"/>
        <v>0.13771697617631604</v>
      </c>
    </row>
    <row r="134" spans="1:13" ht="15" customHeight="1">
      <c r="A134" s="102" t="s">
        <v>477</v>
      </c>
      <c r="B134" s="41">
        <f t="shared" ref="B134:I134" ca="1" si="144">OFFSET(B$304,B$160,0)-B304</f>
        <v>-3301.9177522632745</v>
      </c>
      <c r="C134" s="41">
        <f t="shared" ca="1" si="144"/>
        <v>-2526.1973835045283</v>
      </c>
      <c r="D134" s="41">
        <f t="shared" ca="1" si="144"/>
        <v>-658.91995905613294</v>
      </c>
      <c r="E134" s="41">
        <f t="shared" ca="1" si="144"/>
        <v>-1579.8585870800962</v>
      </c>
      <c r="F134" s="41">
        <f t="shared" ca="1" si="144"/>
        <v>-1129.4603131234544</v>
      </c>
      <c r="G134" s="41">
        <f t="shared" ca="1" si="144"/>
        <v>-530.82232464108529</v>
      </c>
      <c r="H134" s="41">
        <f t="shared" ca="1" si="144"/>
        <v>-736.88114214348752</v>
      </c>
      <c r="I134" s="41">
        <f t="shared" ca="1" si="144"/>
        <v>1303.3681683375107</v>
      </c>
      <c r="J134" s="41">
        <f t="shared" ref="J134:M134" ca="1" si="145">OFFSET(J$304,J$160,0)-J304</f>
        <v>-1278.844500812811</v>
      </c>
      <c r="K134" s="41">
        <f t="shared" ca="1" si="145"/>
        <v>-3911.2709785690895</v>
      </c>
      <c r="L134" s="41">
        <f t="shared" ca="1" si="145"/>
        <v>4379.7278977422829</v>
      </c>
      <c r="M134" s="41">
        <f t="shared" ca="1" si="145"/>
        <v>21118.181491279836</v>
      </c>
    </row>
    <row r="135" spans="1:13" ht="15" customHeight="1">
      <c r="A135" s="102" t="s">
        <v>415</v>
      </c>
      <c r="B135" s="41">
        <f t="shared" ref="B135:M135" ca="1" si="146">+B$136-B$137</f>
        <v>41864.813601198024</v>
      </c>
      <c r="C135" s="41">
        <f t="shared" ca="1" si="146"/>
        <v>39629.128129975114</v>
      </c>
      <c r="D135" s="41">
        <f t="shared" ca="1" si="146"/>
        <v>38058.653631397421</v>
      </c>
      <c r="E135" s="41">
        <f t="shared" ca="1" si="146"/>
        <v>28219.799401143457</v>
      </c>
      <c r="F135" s="41">
        <f t="shared" ca="1" si="146"/>
        <v>30573.781494313494</v>
      </c>
      <c r="G135" s="41">
        <f t="shared" ca="1" si="146"/>
        <v>30277.912308394938</v>
      </c>
      <c r="H135" s="41">
        <f t="shared" ca="1" si="146"/>
        <v>30671.693229872937</v>
      </c>
      <c r="I135" s="41">
        <f t="shared" ca="1" si="146"/>
        <v>34250.438561189534</v>
      </c>
      <c r="J135" s="41">
        <f t="shared" ca="1" si="146"/>
        <v>30696.809934902129</v>
      </c>
      <c r="K135" s="41">
        <f t="shared" ca="1" si="146"/>
        <v>28248.383347102539</v>
      </c>
      <c r="L135" s="41">
        <f t="shared" ca="1" si="146"/>
        <v>31054.889332051207</v>
      </c>
      <c r="M135" s="41">
        <f t="shared" ca="1" si="146"/>
        <v>153344.79508352472</v>
      </c>
    </row>
    <row r="136" spans="1:13" ht="15" customHeight="1">
      <c r="A136" s="102" t="s">
        <v>413</v>
      </c>
      <c r="B136" s="41">
        <f t="shared" ref="B136:M136" ca="1" si="147">OFFSET(B$248,B$160,0)</f>
        <v>45435.535185892368</v>
      </c>
      <c r="C136" s="41">
        <f t="shared" ca="1" si="147"/>
        <v>46787.93097484071</v>
      </c>
      <c r="D136" s="41">
        <f t="shared" ca="1" si="147"/>
        <v>51043.170050627741</v>
      </c>
      <c r="E136" s="41">
        <f t="shared" ca="1" si="147"/>
        <v>22233.204971494335</v>
      </c>
      <c r="F136" s="41">
        <f t="shared" ca="1" si="147"/>
        <v>34773.195603513646</v>
      </c>
      <c r="G136" s="41">
        <f t="shared" ca="1" si="147"/>
        <v>35421.980884795979</v>
      </c>
      <c r="H136" s="41">
        <f t="shared" ca="1" si="147"/>
        <v>41449.60505180675</v>
      </c>
      <c r="I136" s="41">
        <f t="shared" ca="1" si="147"/>
        <v>42460.988868161563</v>
      </c>
      <c r="J136" s="41">
        <f t="shared" ca="1" si="147"/>
        <v>33241.038147115039</v>
      </c>
      <c r="K136" s="41">
        <f t="shared" ca="1" si="147"/>
        <v>29546.504367502213</v>
      </c>
      <c r="L136" s="41">
        <f t="shared" ca="1" si="147"/>
        <v>38204.054755676196</v>
      </c>
      <c r="M136" s="41">
        <f t="shared" ca="1" si="147"/>
        <v>156835.42912457924</v>
      </c>
    </row>
    <row r="137" spans="1:13" ht="15" customHeight="1">
      <c r="A137" s="102" t="s">
        <v>412</v>
      </c>
      <c r="B137" s="41">
        <f t="shared" ref="B137:M137" ca="1" si="148">B$248</f>
        <v>3570.7215846943436</v>
      </c>
      <c r="C137" s="41">
        <f t="shared" ca="1" si="148"/>
        <v>7158.8028448655969</v>
      </c>
      <c r="D137" s="41">
        <f t="shared" ca="1" si="148"/>
        <v>12984.51641923032</v>
      </c>
      <c r="E137" s="41">
        <f t="shared" ca="1" si="148"/>
        <v>-5986.5944296491216</v>
      </c>
      <c r="F137" s="41">
        <f t="shared" ca="1" si="148"/>
        <v>4199.4141092001519</v>
      </c>
      <c r="G137" s="41">
        <f t="shared" ca="1" si="148"/>
        <v>5144.0685764010414</v>
      </c>
      <c r="H137" s="41">
        <f t="shared" ca="1" si="148"/>
        <v>10777.911821933812</v>
      </c>
      <c r="I137" s="41">
        <f t="shared" ca="1" si="148"/>
        <v>8210.5503069720289</v>
      </c>
      <c r="J137" s="41">
        <f t="shared" ca="1" si="148"/>
        <v>2544.2282122129109</v>
      </c>
      <c r="K137" s="41">
        <f t="shared" ca="1" si="148"/>
        <v>1298.1210203996743</v>
      </c>
      <c r="L137" s="41">
        <f t="shared" ca="1" si="148"/>
        <v>7149.1654236249888</v>
      </c>
      <c r="M137" s="41">
        <f t="shared" ca="1" si="148"/>
        <v>3490.6340410545381</v>
      </c>
    </row>
    <row r="139" spans="1:13" ht="15" customHeight="1">
      <c r="A139" s="3" t="s">
        <v>409</v>
      </c>
      <c r="B139" s="13">
        <f t="shared" ref="B139:M139" ca="1" si="149">+B$149+SUM(OFFSET(B$277,0,0,B$160,1))</f>
        <v>49708.065977451937</v>
      </c>
      <c r="C139" s="13">
        <f t="shared" ca="1" si="149"/>
        <v>47219.512700245759</v>
      </c>
      <c r="D139" s="13">
        <f t="shared" ca="1" si="149"/>
        <v>46832.342492165713</v>
      </c>
      <c r="E139" s="13">
        <f t="shared" ca="1" si="149"/>
        <v>36944.483815197687</v>
      </c>
      <c r="F139" s="13">
        <f t="shared" ca="1" si="149"/>
        <v>39561.632759392225</v>
      </c>
      <c r="G139" s="13">
        <f t="shared" ca="1" si="149"/>
        <v>39234.21363385881</v>
      </c>
      <c r="H139" s="13">
        <f t="shared" ca="1" si="149"/>
        <v>45604.948323232486</v>
      </c>
      <c r="I139" s="13">
        <f t="shared" ca="1" si="149"/>
        <v>44648.050584524986</v>
      </c>
      <c r="J139" s="13">
        <f t="shared" ca="1" si="149"/>
        <v>36464.16746528339</v>
      </c>
      <c r="K139" s="13">
        <f t="shared" ca="1" si="149"/>
        <v>33796.569546333179</v>
      </c>
      <c r="L139" s="13">
        <f t="shared" ca="1" si="149"/>
        <v>41638.84727782452</v>
      </c>
      <c r="M139" s="13">
        <f t="shared" ca="1" si="149"/>
        <v>161985.03581530013</v>
      </c>
    </row>
    <row r="140" spans="1:13" ht="15" customHeight="1">
      <c r="A140" s="102" t="s">
        <v>408</v>
      </c>
      <c r="B140" s="41">
        <f t="shared" ref="B140:M140" ca="1" si="150">+B$153-B$346</f>
        <v>6127.6659312974953</v>
      </c>
      <c r="C140" s="41">
        <f t="shared" ca="1" si="150"/>
        <v>7254.0932018955064</v>
      </c>
      <c r="D140" s="41">
        <f t="shared" ca="1" si="150"/>
        <v>9312.210173131818</v>
      </c>
      <c r="E140" s="41">
        <f t="shared" ca="1" si="150"/>
        <v>9619.3861297000331</v>
      </c>
      <c r="F140" s="41">
        <f t="shared" ca="1" si="150"/>
        <v>10260.305590379241</v>
      </c>
      <c r="G140" s="41">
        <f t="shared" ca="1" si="150"/>
        <v>10899.642979999888</v>
      </c>
      <c r="H140" s="41">
        <f t="shared" ca="1" si="150"/>
        <v>10742.761508979136</v>
      </c>
      <c r="I140" s="41">
        <f t="shared" ca="1" si="150"/>
        <v>14126.339458636052</v>
      </c>
      <c r="J140" s="41">
        <f t="shared" ca="1" si="150"/>
        <v>9527.4087588539551</v>
      </c>
      <c r="K140" s="41">
        <f t="shared" ca="1" si="150"/>
        <v>5667.7103688026764</v>
      </c>
      <c r="L140" s="41">
        <f t="shared" ca="1" si="150"/>
        <v>19980.274455898092</v>
      </c>
      <c r="M140" s="41">
        <f t="shared" ca="1" si="150"/>
        <v>41819.708790962482</v>
      </c>
    </row>
    <row r="141" spans="1:13" ht="15" customHeight="1">
      <c r="A141" s="104"/>
      <c r="B141" s="50"/>
      <c r="C141" s="50"/>
      <c r="D141" s="50"/>
      <c r="E141" s="50"/>
      <c r="F141" s="50"/>
      <c r="G141" s="50"/>
      <c r="H141" s="50"/>
      <c r="I141" s="50"/>
      <c r="J141" s="50"/>
      <c r="K141" s="50"/>
      <c r="L141" s="50"/>
      <c r="M141" s="50"/>
    </row>
    <row r="142" spans="1:13" ht="15" customHeight="1">
      <c r="A142" s="104"/>
      <c r="B142" s="50"/>
      <c r="C142" s="50"/>
      <c r="D142" s="50"/>
      <c r="E142" s="50"/>
      <c r="F142" s="50"/>
      <c r="G142" s="50"/>
      <c r="H142" s="50"/>
      <c r="I142" s="50"/>
      <c r="J142" s="50"/>
      <c r="K142" s="50"/>
      <c r="L142" s="50"/>
      <c r="M142" s="50"/>
    </row>
    <row r="143" spans="1:13" ht="15" customHeight="1">
      <c r="A143" s="106" t="s">
        <v>496</v>
      </c>
      <c r="B143" s="27"/>
      <c r="C143" s="27"/>
      <c r="D143" s="27"/>
      <c r="E143" s="27"/>
      <c r="F143" s="27"/>
      <c r="G143" s="27"/>
      <c r="H143" s="27"/>
      <c r="I143" s="27"/>
      <c r="J143" s="27"/>
      <c r="K143" s="27"/>
      <c r="L143" s="27"/>
      <c r="M143" s="27"/>
    </row>
    <row r="145" spans="1:13" ht="15" customHeight="1">
      <c r="A145" s="10" t="s">
        <v>404</v>
      </c>
      <c r="B145" s="41">
        <f t="shared" ref="B145:I145" ca="1" si="151">+B150-B149</f>
        <v>40422.916093000938</v>
      </c>
      <c r="C145" s="41">
        <f t="shared" ca="1" si="151"/>
        <v>37951.922851353236</v>
      </c>
      <c r="D145" s="41">
        <f t="shared" ca="1" si="151"/>
        <v>33679.644336497644</v>
      </c>
      <c r="E145" s="41">
        <f t="shared" ca="1" si="151"/>
        <v>31543.089804657597</v>
      </c>
      <c r="F145" s="41">
        <f t="shared" ca="1" si="151"/>
        <v>30958.154357493393</v>
      </c>
      <c r="G145" s="41">
        <f t="shared" ca="1" si="151"/>
        <v>30556.79275746498</v>
      </c>
      <c r="H145" s="41">
        <f t="shared" ca="1" si="151"/>
        <v>24364.784626007655</v>
      </c>
      <c r="I145" s="41">
        <f t="shared" ca="1" si="151"/>
        <v>31192.836070006346</v>
      </c>
      <c r="J145" s="41">
        <f t="shared" ref="J145:M145" ca="1" si="152">+J150-J149</f>
        <v>33780.236963661693</v>
      </c>
      <c r="K145" s="41">
        <f t="shared" ca="1" si="152"/>
        <v>32936.342350346051</v>
      </c>
      <c r="L145" s="41">
        <f t="shared" ca="1" si="152"/>
        <v>36455.85514655256</v>
      </c>
      <c r="M145" s="41">
        <f t="shared" ca="1" si="152"/>
        <v>53445.321412718491</v>
      </c>
    </row>
    <row r="146" spans="1:13" ht="15" customHeight="1">
      <c r="A146" s="10" t="s">
        <v>8</v>
      </c>
      <c r="B146" s="97">
        <f t="shared" ref="B146:I146" si="153">IF(B799="Yes",B800,B801)</f>
        <v>0.08</v>
      </c>
      <c r="C146" s="97">
        <f t="shared" si="153"/>
        <v>0.08</v>
      </c>
      <c r="D146" s="97">
        <f t="shared" si="153"/>
        <v>0.08</v>
      </c>
      <c r="E146" s="97">
        <f t="shared" si="153"/>
        <v>0.08</v>
      </c>
      <c r="F146" s="97">
        <f t="shared" si="153"/>
        <v>0.08</v>
      </c>
      <c r="G146" s="97">
        <f t="shared" si="153"/>
        <v>0.08</v>
      </c>
      <c r="H146" s="97">
        <f t="shared" si="153"/>
        <v>0.08</v>
      </c>
      <c r="I146" s="97">
        <f t="shared" si="153"/>
        <v>0.08</v>
      </c>
      <c r="J146" s="97">
        <f t="shared" ref="J146:M146" si="154">IF(J799="Yes",J800,J801)</f>
        <v>0.08</v>
      </c>
      <c r="K146" s="97">
        <f t="shared" si="154"/>
        <v>0.08</v>
      </c>
      <c r="L146" s="97">
        <f t="shared" si="154"/>
        <v>0.08</v>
      </c>
      <c r="M146" s="97">
        <f t="shared" si="154"/>
        <v>0.08</v>
      </c>
    </row>
    <row r="147" spans="1:13" ht="15" customHeight="1">
      <c r="A147" s="10" t="s">
        <v>400</v>
      </c>
      <c r="B147" s="97">
        <f t="shared" ref="B147:M147" ca="1" si="155">IF(B$797="No",B$798,OFFSET(B$220,B$160,0))</f>
        <v>0.12</v>
      </c>
      <c r="C147" s="97">
        <f t="shared" ca="1" si="155"/>
        <v>0.12</v>
      </c>
      <c r="D147" s="97">
        <f t="shared" ca="1" si="155"/>
        <v>0.12</v>
      </c>
      <c r="E147" s="97">
        <f t="shared" ca="1" si="155"/>
        <v>0.12</v>
      </c>
      <c r="F147" s="97">
        <f t="shared" ca="1" si="155"/>
        <v>0.12</v>
      </c>
      <c r="G147" s="97">
        <f t="shared" ca="1" si="155"/>
        <v>0.12</v>
      </c>
      <c r="H147" s="97">
        <f t="shared" ca="1" si="155"/>
        <v>7.9999999999999974E-2</v>
      </c>
      <c r="I147" s="97">
        <f t="shared" ca="1" si="155"/>
        <v>0.12</v>
      </c>
      <c r="J147" s="97">
        <f t="shared" ca="1" si="155"/>
        <v>0.12</v>
      </c>
      <c r="K147" s="97">
        <f t="shared" ca="1" si="155"/>
        <v>0.12</v>
      </c>
      <c r="L147" s="97">
        <f t="shared" ca="1" si="155"/>
        <v>8.0000000000000016E-2</v>
      </c>
      <c r="M147" s="97">
        <f t="shared" ca="1" si="155"/>
        <v>0.12</v>
      </c>
    </row>
    <row r="148" spans="1:13" ht="15" customHeight="1">
      <c r="A148" s="10" t="s">
        <v>459</v>
      </c>
      <c r="B148" s="17">
        <f t="shared" ref="B148:M148" ca="1" si="156">B$149/B$150</f>
        <v>0.16250000000000001</v>
      </c>
      <c r="C148" s="17">
        <f t="shared" ca="1" si="156"/>
        <v>0.16666666666666669</v>
      </c>
      <c r="D148" s="17">
        <f t="shared" ca="1" si="156"/>
        <v>0.20666666666666669</v>
      </c>
      <c r="E148" s="17">
        <f t="shared" ca="1" si="156"/>
        <v>0.21666666666666665</v>
      </c>
      <c r="F148" s="17">
        <f t="shared" ca="1" si="156"/>
        <v>0.22500000000000001</v>
      </c>
      <c r="G148" s="17">
        <f t="shared" ca="1" si="156"/>
        <v>0.22666666666666663</v>
      </c>
      <c r="H148" s="17">
        <f t="shared" ca="1" si="156"/>
        <v>0.38000000000000012</v>
      </c>
      <c r="I148" s="17">
        <f t="shared" ca="1" si="156"/>
        <v>0.25</v>
      </c>
      <c r="J148" s="17">
        <f t="shared" ca="1" si="156"/>
        <v>0.14583333333333334</v>
      </c>
      <c r="K148" s="17">
        <f t="shared" ca="1" si="156"/>
        <v>0.14416666666666664</v>
      </c>
      <c r="L148" s="17">
        <f t="shared" ca="1" si="156"/>
        <v>0.22499999999999998</v>
      </c>
      <c r="M148" s="17">
        <f t="shared" ca="1" si="156"/>
        <v>0.13916666666666672</v>
      </c>
    </row>
    <row r="149" spans="1:13" ht="15" customHeight="1">
      <c r="A149" s="10" t="s">
        <v>4</v>
      </c>
      <c r="B149" s="41">
        <f t="shared" ref="B149:M149" ca="1" si="157">(B$156/B$147)*B$150</f>
        <v>7843.252376253914</v>
      </c>
      <c r="C149" s="41">
        <f t="shared" ca="1" si="157"/>
        <v>7590.3845702706476</v>
      </c>
      <c r="D149" s="41">
        <f t="shared" ca="1" si="157"/>
        <v>8773.688860768294</v>
      </c>
      <c r="E149" s="41">
        <f t="shared" ca="1" si="157"/>
        <v>8724.6844140542289</v>
      </c>
      <c r="F149" s="41">
        <f t="shared" ca="1" si="157"/>
        <v>8987.851265078727</v>
      </c>
      <c r="G149" s="41">
        <f t="shared" ca="1" si="157"/>
        <v>8956.3013254638718</v>
      </c>
      <c r="H149" s="41">
        <f t="shared" ca="1" si="157"/>
        <v>14933.255093359539</v>
      </c>
      <c r="I149" s="41">
        <f t="shared" ca="1" si="157"/>
        <v>10397.612023335449</v>
      </c>
      <c r="J149" s="41">
        <f t="shared" ca="1" si="157"/>
        <v>5767.357530381265</v>
      </c>
      <c r="K149" s="41">
        <f t="shared" ca="1" si="157"/>
        <v>5548.1861992306376</v>
      </c>
      <c r="L149" s="41">
        <f t="shared" ca="1" si="157"/>
        <v>10583.957945773322</v>
      </c>
      <c r="M149" s="41">
        <f t="shared" ca="1" si="157"/>
        <v>8640.2407317754041</v>
      </c>
    </row>
    <row r="150" spans="1:13" ht="15" customHeight="1">
      <c r="A150" s="10" t="str">
        <f>A303</f>
        <v>EBIT(1-t)</v>
      </c>
      <c r="B150" s="41">
        <f t="shared" ref="B150:I150" ca="1" si="158">B153*(1-B151)</f>
        <v>48266.168469254852</v>
      </c>
      <c r="C150" s="41">
        <f t="shared" ca="1" si="158"/>
        <v>45542.307421623882</v>
      </c>
      <c r="D150" s="41">
        <f t="shared" ca="1" si="158"/>
        <v>42453.333197265936</v>
      </c>
      <c r="E150" s="41">
        <f t="shared" ca="1" si="158"/>
        <v>40267.774218711827</v>
      </c>
      <c r="F150" s="41">
        <f t="shared" ca="1" si="158"/>
        <v>39946.00562257212</v>
      </c>
      <c r="G150" s="41">
        <f t="shared" ca="1" si="158"/>
        <v>39513.094082928852</v>
      </c>
      <c r="H150" s="41">
        <f t="shared" ca="1" si="158"/>
        <v>39298.039719367196</v>
      </c>
      <c r="I150" s="41">
        <f t="shared" ca="1" si="158"/>
        <v>41590.448093341794</v>
      </c>
      <c r="J150" s="41">
        <f t="shared" ref="J150:M150" ca="1" si="159">J153*(1-J151)</f>
        <v>39547.594494042954</v>
      </c>
      <c r="K150" s="41">
        <f t="shared" ca="1" si="159"/>
        <v>38484.528549576688</v>
      </c>
      <c r="L150" s="41">
        <f t="shared" ca="1" si="159"/>
        <v>47039.81309232588</v>
      </c>
      <c r="M150" s="41">
        <f t="shared" ca="1" si="159"/>
        <v>62085.562144493895</v>
      </c>
    </row>
    <row r="151" spans="1:13" ht="15" customHeight="1">
      <c r="A151" s="10" t="s">
        <v>397</v>
      </c>
      <c r="B151" s="17">
        <f t="shared" ref="B151:I151" si="160">IF(B803="Yes",B$547,B$817)</f>
        <v>0.36</v>
      </c>
      <c r="C151" s="17">
        <f t="shared" si="160"/>
        <v>0.36</v>
      </c>
      <c r="D151" s="17">
        <f t="shared" si="160"/>
        <v>0.36</v>
      </c>
      <c r="E151" s="17">
        <f t="shared" si="160"/>
        <v>0.38</v>
      </c>
      <c r="F151" s="17">
        <f t="shared" si="160"/>
        <v>0.38</v>
      </c>
      <c r="G151" s="17">
        <f t="shared" si="160"/>
        <v>0.38</v>
      </c>
      <c r="H151" s="17">
        <f t="shared" si="160"/>
        <v>0.38</v>
      </c>
      <c r="I151" s="17">
        <f t="shared" si="160"/>
        <v>0.38</v>
      </c>
      <c r="J151" s="17">
        <f t="shared" ref="J151:M151" si="161">IF(J803="Yes",J$547,J$817)</f>
        <v>0.38</v>
      </c>
      <c r="K151" s="17">
        <f t="shared" si="161"/>
        <v>0.38</v>
      </c>
      <c r="L151" s="17">
        <f t="shared" si="161"/>
        <v>0.38</v>
      </c>
      <c r="M151" s="17">
        <f t="shared" si="161"/>
        <v>0.35</v>
      </c>
    </row>
    <row r="152" spans="1:13" ht="15" customHeight="1">
      <c r="A152" s="10" t="s">
        <v>359</v>
      </c>
      <c r="B152" s="41">
        <f t="shared" ref="B152:M152" ca="1" si="162">IF(B$153&lt;0,OFFSET(B$332,B$160,0)-B$153,IF(OFFSET(B$332,B$160,0)&gt;B$153,OFFSET(B$332,B$160,0)-B$153,0))</f>
        <v>0</v>
      </c>
      <c r="C152" s="41">
        <f t="shared" ca="1" si="162"/>
        <v>0</v>
      </c>
      <c r="D152" s="41">
        <f t="shared" ca="1" si="162"/>
        <v>0</v>
      </c>
      <c r="E152" s="41">
        <f t="shared" ca="1" si="162"/>
        <v>0</v>
      </c>
      <c r="F152" s="41">
        <f t="shared" ca="1" si="162"/>
        <v>0</v>
      </c>
      <c r="G152" s="41">
        <f t="shared" ca="1" si="162"/>
        <v>0</v>
      </c>
      <c r="H152" s="41">
        <f t="shared" ca="1" si="162"/>
        <v>0</v>
      </c>
      <c r="I152" s="41">
        <f t="shared" ca="1" si="162"/>
        <v>0</v>
      </c>
      <c r="J152" s="41">
        <f t="shared" ca="1" si="162"/>
        <v>0</v>
      </c>
      <c r="K152" s="41">
        <f t="shared" ca="1" si="162"/>
        <v>0</v>
      </c>
      <c r="L152" s="41">
        <f t="shared" ca="1" si="162"/>
        <v>0</v>
      </c>
      <c r="M152" s="41">
        <f t="shared" ca="1" si="162"/>
        <v>0</v>
      </c>
    </row>
    <row r="153" spans="1:13" ht="15" customHeight="1">
      <c r="A153" s="10" t="s">
        <v>396</v>
      </c>
      <c r="B153" s="41">
        <f t="shared" ref="B153:I153" ca="1" si="163">B154*B155</f>
        <v>75415.888233210702</v>
      </c>
      <c r="C153" s="41">
        <f t="shared" ca="1" si="163"/>
        <v>71159.85534628731</v>
      </c>
      <c r="D153" s="41">
        <f t="shared" ca="1" si="163"/>
        <v>66333.333120728028</v>
      </c>
      <c r="E153" s="41">
        <f t="shared" ca="1" si="163"/>
        <v>64948.022933406173</v>
      </c>
      <c r="F153" s="41">
        <f t="shared" ca="1" si="163"/>
        <v>64429.041326729224</v>
      </c>
      <c r="G153" s="41">
        <f t="shared" ca="1" si="163"/>
        <v>63730.796907949756</v>
      </c>
      <c r="H153" s="41">
        <f t="shared" ca="1" si="163"/>
        <v>63383.935031237415</v>
      </c>
      <c r="I153" s="41">
        <f t="shared" ca="1" si="163"/>
        <v>67081.367892486771</v>
      </c>
      <c r="J153" s="41">
        <f t="shared" ref="J153:M153" ca="1" si="164">J154*J155</f>
        <v>63786.442732327341</v>
      </c>
      <c r="K153" s="41">
        <f t="shared" ca="1" si="164"/>
        <v>62071.820241252717</v>
      </c>
      <c r="L153" s="41">
        <f t="shared" ca="1" si="164"/>
        <v>75870.666277944969</v>
      </c>
      <c r="M153" s="41">
        <f t="shared" ca="1" si="164"/>
        <v>95516.249453067532</v>
      </c>
    </row>
    <row r="154" spans="1:13" ht="15" customHeight="1">
      <c r="A154" s="10" t="s">
        <v>395</v>
      </c>
      <c r="B154" s="17">
        <f t="shared" ref="B154:I154" ca="1" si="165">OFFSET(B360,B160,0)</f>
        <v>0.25</v>
      </c>
      <c r="C154" s="17">
        <f t="shared" ca="1" si="165"/>
        <v>0.25</v>
      </c>
      <c r="D154" s="17">
        <f t="shared" ca="1" si="165"/>
        <v>0.25</v>
      </c>
      <c r="E154" s="17">
        <f t="shared" ca="1" si="165"/>
        <v>0.25</v>
      </c>
      <c r="F154" s="17">
        <f t="shared" ca="1" si="165"/>
        <v>0.25</v>
      </c>
      <c r="G154" s="17">
        <f t="shared" ca="1" si="165"/>
        <v>0.25</v>
      </c>
      <c r="H154" s="17">
        <f t="shared" ca="1" si="165"/>
        <v>0.25</v>
      </c>
      <c r="I154" s="17">
        <f t="shared" ca="1" si="165"/>
        <v>0.25</v>
      </c>
      <c r="J154" s="17">
        <f t="shared" ref="J154:M154" ca="1" si="166">OFFSET(J360,J160,0)</f>
        <v>0.25</v>
      </c>
      <c r="K154" s="17">
        <f t="shared" ca="1" si="166"/>
        <v>0.25</v>
      </c>
      <c r="L154" s="17">
        <f t="shared" ca="1" si="166"/>
        <v>0.3</v>
      </c>
      <c r="M154" s="17">
        <f t="shared" ca="1" si="166"/>
        <v>0.35</v>
      </c>
    </row>
    <row r="155" spans="1:13" ht="15" customHeight="1">
      <c r="A155" s="10" t="s">
        <v>19</v>
      </c>
      <c r="B155" s="41">
        <f t="shared" ref="B155:I155" ca="1" si="167">OFFSET(B374,B160,0)*(1+B156)</f>
        <v>301663.55293284281</v>
      </c>
      <c r="C155" s="41">
        <f t="shared" ca="1" si="167"/>
        <v>284639.42138514924</v>
      </c>
      <c r="D155" s="41">
        <f t="shared" ca="1" si="167"/>
        <v>265333.33248291211</v>
      </c>
      <c r="E155" s="41">
        <f t="shared" ca="1" si="167"/>
        <v>259792.09173362469</v>
      </c>
      <c r="F155" s="41">
        <f t="shared" ca="1" si="167"/>
        <v>257716.1653069169</v>
      </c>
      <c r="G155" s="41">
        <f t="shared" ca="1" si="167"/>
        <v>254923.18763179902</v>
      </c>
      <c r="H155" s="41">
        <f t="shared" ca="1" si="167"/>
        <v>253535.74012494966</v>
      </c>
      <c r="I155" s="41">
        <f t="shared" ca="1" si="167"/>
        <v>268325.47156994708</v>
      </c>
      <c r="J155" s="41">
        <f t="shared" ref="J155:M155" ca="1" si="168">OFFSET(J374,J160,0)*(1+J156)</f>
        <v>255145.77092930936</v>
      </c>
      <c r="K155" s="41">
        <f t="shared" ca="1" si="168"/>
        <v>248287.28096501087</v>
      </c>
      <c r="L155" s="41">
        <f t="shared" ca="1" si="168"/>
        <v>252902.22092648325</v>
      </c>
      <c r="M155" s="41">
        <f t="shared" ca="1" si="168"/>
        <v>272903.56986590725</v>
      </c>
    </row>
    <row r="156" spans="1:13" ht="15" customHeight="1">
      <c r="A156" s="10" t="s">
        <v>394</v>
      </c>
      <c r="B156" s="17">
        <f t="shared" ref="B156:I156" ca="1" si="169">OFFSET(B388,B160,0)</f>
        <v>1.95E-2</v>
      </c>
      <c r="C156" s="17">
        <f t="shared" ca="1" si="169"/>
        <v>0.02</v>
      </c>
      <c r="D156" s="17">
        <f t="shared" ca="1" si="169"/>
        <v>2.4799999999999999E-2</v>
      </c>
      <c r="E156" s="17">
        <f t="shared" ca="1" si="169"/>
        <v>2.5999999999999999E-2</v>
      </c>
      <c r="F156" s="17">
        <f t="shared" ca="1" si="169"/>
        <v>2.7E-2</v>
      </c>
      <c r="G156" s="17">
        <f t="shared" ca="1" si="169"/>
        <v>2.7199999999999998E-2</v>
      </c>
      <c r="H156" s="17">
        <f t="shared" ca="1" si="169"/>
        <v>3.04E-2</v>
      </c>
      <c r="I156" s="17">
        <f t="shared" ca="1" si="169"/>
        <v>0.03</v>
      </c>
      <c r="J156" s="17">
        <f t="shared" ref="J156:M156" ca="1" si="170">OFFSET(J388,J160,0)</f>
        <v>1.7500000000000002E-2</v>
      </c>
      <c r="K156" s="17">
        <f t="shared" ca="1" si="170"/>
        <v>1.7299999999999996E-2</v>
      </c>
      <c r="L156" s="17">
        <f t="shared" ca="1" si="170"/>
        <v>1.8000000000000002E-2</v>
      </c>
      <c r="M156" s="17">
        <f t="shared" ca="1" si="170"/>
        <v>1.6700000000000007E-2</v>
      </c>
    </row>
    <row r="157" spans="1:13" ht="15" customHeight="1">
      <c r="A157" s="104"/>
      <c r="B157" s="50"/>
      <c r="C157" s="50"/>
      <c r="D157" s="50"/>
      <c r="E157" s="50"/>
      <c r="F157" s="50"/>
      <c r="G157" s="50"/>
      <c r="H157" s="50"/>
      <c r="I157" s="50"/>
      <c r="J157" s="50"/>
      <c r="K157" s="50"/>
      <c r="L157" s="50"/>
      <c r="M157" s="50"/>
    </row>
    <row r="158" spans="1:13" ht="15" customHeight="1">
      <c r="A158" s="23" t="s">
        <v>500</v>
      </c>
      <c r="B158" s="26"/>
      <c r="C158" s="26"/>
      <c r="D158" s="26"/>
      <c r="E158" s="26"/>
      <c r="F158" s="26"/>
      <c r="G158" s="26"/>
      <c r="H158" s="26"/>
      <c r="I158" s="26"/>
      <c r="J158" s="26"/>
      <c r="K158" s="26"/>
      <c r="L158" s="26"/>
      <c r="M158" s="26"/>
    </row>
    <row r="159" spans="1:13" ht="15" customHeight="1">
      <c r="A159" s="1"/>
    </row>
    <row r="160" spans="1:13" ht="15" customHeight="1">
      <c r="A160" s="3" t="s">
        <v>495</v>
      </c>
      <c r="B160" s="107">
        <f t="shared" ref="B160:I160" si="171">B796</f>
        <v>10</v>
      </c>
      <c r="C160" s="107">
        <f t="shared" si="171"/>
        <v>10</v>
      </c>
      <c r="D160" s="107">
        <f t="shared" si="171"/>
        <v>10</v>
      </c>
      <c r="E160" s="107">
        <f t="shared" si="171"/>
        <v>10</v>
      </c>
      <c r="F160" s="107">
        <f t="shared" si="171"/>
        <v>10</v>
      </c>
      <c r="G160" s="107">
        <f t="shared" si="171"/>
        <v>10</v>
      </c>
      <c r="H160" s="107">
        <f t="shared" si="171"/>
        <v>10</v>
      </c>
      <c r="I160" s="107">
        <f t="shared" si="171"/>
        <v>10</v>
      </c>
      <c r="J160" s="107">
        <f t="shared" ref="J160:M160" si="172">J796</f>
        <v>10</v>
      </c>
      <c r="K160" s="107">
        <f t="shared" si="172"/>
        <v>10</v>
      </c>
      <c r="L160" s="107">
        <f t="shared" si="172"/>
        <v>10</v>
      </c>
      <c r="M160" s="107">
        <f t="shared" si="172"/>
        <v>10</v>
      </c>
    </row>
    <row r="161" spans="1:13" ht="15" customHeight="1">
      <c r="A161" s="10" t="s">
        <v>492</v>
      </c>
      <c r="B161" s="141">
        <f t="shared" ref="B161:I161" si="173">+B807</f>
        <v>5</v>
      </c>
      <c r="C161" s="141">
        <f t="shared" si="173"/>
        <v>5</v>
      </c>
      <c r="D161" s="141">
        <f t="shared" si="173"/>
        <v>5</v>
      </c>
      <c r="E161" s="141">
        <f t="shared" si="173"/>
        <v>5</v>
      </c>
      <c r="F161" s="141">
        <f t="shared" si="173"/>
        <v>5</v>
      </c>
      <c r="G161" s="141">
        <f t="shared" si="173"/>
        <v>5</v>
      </c>
      <c r="H161" s="141">
        <f t="shared" si="173"/>
        <v>5</v>
      </c>
      <c r="I161" s="141">
        <f t="shared" si="173"/>
        <v>5</v>
      </c>
      <c r="J161" s="141">
        <f t="shared" ref="J161:M161" si="174">+J807</f>
        <v>5</v>
      </c>
      <c r="K161" s="141">
        <f t="shared" si="174"/>
        <v>5</v>
      </c>
      <c r="L161" s="141">
        <f t="shared" si="174"/>
        <v>5</v>
      </c>
      <c r="M161" s="141">
        <f t="shared" si="174"/>
        <v>5</v>
      </c>
    </row>
    <row r="162" spans="1:13" ht="15" customHeight="1">
      <c r="B162" s="107"/>
      <c r="C162" s="107"/>
      <c r="D162" s="107"/>
      <c r="E162" s="107"/>
      <c r="F162" s="107"/>
      <c r="G162" s="107"/>
      <c r="H162" s="107"/>
      <c r="I162" s="107"/>
      <c r="J162" s="107"/>
      <c r="K162" s="107"/>
      <c r="L162" s="107"/>
      <c r="M162" s="107"/>
    </row>
    <row r="163" spans="1:13" ht="15" customHeight="1">
      <c r="A163" s="106" t="s">
        <v>512</v>
      </c>
      <c r="B163" s="94"/>
      <c r="C163" s="94"/>
      <c r="D163" s="94"/>
      <c r="E163" s="94"/>
      <c r="F163" s="94"/>
      <c r="G163" s="94"/>
      <c r="H163" s="94"/>
      <c r="I163" s="94"/>
      <c r="J163" s="94"/>
      <c r="K163" s="94"/>
      <c r="L163" s="94"/>
      <c r="M163" s="94"/>
    </row>
    <row r="164" spans="1:13" ht="15" customHeight="1">
      <c r="A164" s="10">
        <v>0</v>
      </c>
      <c r="B164" s="41" t="e">
        <f t="shared" ref="B164:B174" si="175">IF($A164&gt;B$160,"",IF($A164=0,#N/A,B192*B206))</f>
        <v>#N/A</v>
      </c>
      <c r="C164" s="144" t="e">
        <f t="shared" ref="C164:D164" si="176">IF($A164&gt;C$160,"",IF($A164=0,#N/A,C192*C206))</f>
        <v>#N/A</v>
      </c>
      <c r="D164" s="144" t="e">
        <f t="shared" si="176"/>
        <v>#N/A</v>
      </c>
      <c r="E164" s="144" t="e">
        <f t="shared" ref="E164:F164" si="177">IF($A164&gt;E$160,"",IF($A164=0,#N/A,E192*E206))</f>
        <v>#N/A</v>
      </c>
      <c r="F164" s="144" t="e">
        <f t="shared" si="177"/>
        <v>#N/A</v>
      </c>
      <c r="G164" s="144" t="e">
        <f t="shared" ref="G164:H164" si="178">IF($A164&gt;G$160,"",IF($A164=0,#N/A,G192*G206))</f>
        <v>#N/A</v>
      </c>
      <c r="H164" s="144" t="e">
        <f t="shared" si="178"/>
        <v>#N/A</v>
      </c>
      <c r="I164" s="144" t="e">
        <f t="shared" ref="I164:L164" si="179">IF($A164&gt;I$160,"",IF($A164=0,#N/A,I192*I206))</f>
        <v>#N/A</v>
      </c>
      <c r="J164" s="144" t="e">
        <f t="shared" si="179"/>
        <v>#N/A</v>
      </c>
      <c r="K164" s="144" t="e">
        <f t="shared" si="179"/>
        <v>#N/A</v>
      </c>
      <c r="L164" s="144" t="e">
        <f t="shared" si="179"/>
        <v>#N/A</v>
      </c>
      <c r="M164" s="144" t="e">
        <f t="shared" ref="M164" si="180">IF($A164&gt;M$160,"",IF($A164=0,#N/A,M192*M206))</f>
        <v>#N/A</v>
      </c>
    </row>
    <row r="165" spans="1:13" ht="15" customHeight="1">
      <c r="A165" s="10">
        <f t="shared" ref="A165:A174" si="181">A164+1</f>
        <v>1</v>
      </c>
      <c r="B165" s="41">
        <f t="shared" ca="1" si="175"/>
        <v>43470.556146460469</v>
      </c>
      <c r="C165" s="144">
        <f t="shared" ref="C165:D165" ca="1" si="182">IF($A165&gt;C$160,"",IF($A165=0,#N/A,C193*C207))</f>
        <v>40496.263894781412</v>
      </c>
      <c r="D165" s="144">
        <f t="shared" ca="1" si="182"/>
        <v>35924.036985104402</v>
      </c>
      <c r="E165" s="144">
        <f t="shared" ref="E165:F165" ca="1" si="183">IF($A165&gt;E$160,"",IF($A165=0,#N/A,E193*E207))</f>
        <v>35175.138196620581</v>
      </c>
      <c r="F165" s="144">
        <f t="shared" ca="1" si="183"/>
        <v>34517.031081855697</v>
      </c>
      <c r="G165" s="144">
        <f t="shared" ref="G165:H165" ca="1" si="184">IF($A165&gt;G$160,"",IF($A165=0,#N/A,G193*G207))</f>
        <v>33627.739991202696</v>
      </c>
      <c r="H165" s="144">
        <f t="shared" ca="1" si="184"/>
        <v>33479.067660644258</v>
      </c>
      <c r="I165" s="144">
        <f t="shared" ref="I165:L165" ca="1" si="185">IF($A165&gt;I$160,"",IF($A165=0,#N/A,I193*I207))</f>
        <v>33115.878190225718</v>
      </c>
      <c r="J165" s="144">
        <f t="shared" ca="1" si="185"/>
        <v>34069.114185471139</v>
      </c>
      <c r="K165" s="144">
        <f t="shared" ca="1" si="185"/>
        <v>35563.916280305508</v>
      </c>
      <c r="L165" s="144">
        <f t="shared" ca="1" si="185"/>
        <v>35967.352096121642</v>
      </c>
      <c r="M165" s="144">
        <f t="shared" ref="M165" ca="1" si="186">IF($A165&gt;M$160,"",IF($A165=0,#N/A,M193*M207))</f>
        <v>24696.880175304828</v>
      </c>
    </row>
    <row r="166" spans="1:13" ht="15" customHeight="1">
      <c r="A166" s="10">
        <f t="shared" si="181"/>
        <v>2</v>
      </c>
      <c r="B166" s="41">
        <f t="shared" ca="1" si="175"/>
        <v>40554.112192557797</v>
      </c>
      <c r="C166" s="144">
        <f t="shared" ref="C166:D166" ca="1" si="187">IF($A166&gt;C$160,"",IF($A166=0,#N/A,C194*C208))</f>
        <v>37822.601463519735</v>
      </c>
      <c r="D166" s="144">
        <f t="shared" ca="1" si="187"/>
        <v>33443.5273528588</v>
      </c>
      <c r="E166" s="144">
        <f t="shared" ref="E166:F166" ca="1" si="188">IF($A166&gt;E$160,"",IF($A166=0,#N/A,E194*E208))</f>
        <v>32331.671212061148</v>
      </c>
      <c r="F166" s="144">
        <f t="shared" ca="1" si="188"/>
        <v>31960.947458379414</v>
      </c>
      <c r="G166" s="144">
        <f t="shared" ref="G166:H166" ca="1" si="189">IF($A166&gt;G$160,"",IF($A166=0,#N/A,G194*G208))</f>
        <v>31169.550226246491</v>
      </c>
      <c r="H166" s="144">
        <f t="shared" ca="1" si="189"/>
        <v>30955.899465019214</v>
      </c>
      <c r="I166" s="144">
        <f t="shared" ref="I166:L166" ca="1" si="190">IF($A166&gt;I$160,"",IF($A166=0,#N/A,I194*I208))</f>
        <v>30411.444031815281</v>
      </c>
      <c r="J166" s="144">
        <f t="shared" ca="1" si="190"/>
        <v>31251.117502709814</v>
      </c>
      <c r="K166" s="144">
        <f t="shared" ca="1" si="190"/>
        <v>32442.933264106541</v>
      </c>
      <c r="L166" s="144">
        <f t="shared" ca="1" si="190"/>
        <v>33300.835214754567</v>
      </c>
      <c r="M166" s="144">
        <f t="shared" ref="M166" ca="1" si="191">IF($A166&gt;M$160,"",IF($A166=0,#N/A,M194*M208))</f>
        <v>23626.318659213579</v>
      </c>
    </row>
    <row r="167" spans="1:13" ht="15" customHeight="1">
      <c r="A167" s="10">
        <f t="shared" si="181"/>
        <v>3</v>
      </c>
      <c r="B167" s="41">
        <f t="shared" ca="1" si="175"/>
        <v>37806.008818496222</v>
      </c>
      <c r="C167" s="144">
        <f t="shared" ref="C167:D167" ca="1" si="192">IF($A167&gt;C$160,"",IF($A167=0,#N/A,C195*C209))</f>
        <v>35303.450716840896</v>
      </c>
      <c r="D167" s="144">
        <f t="shared" ca="1" si="192"/>
        <v>31118.324624661589</v>
      </c>
      <c r="E167" s="144">
        <f t="shared" ref="E167:F167" ca="1" si="193">IF($A167&gt;E$160,"",IF($A167=0,#N/A,E195*E209))</f>
        <v>29704.037066163582</v>
      </c>
      <c r="F167" s="144">
        <f t="shared" ca="1" si="193"/>
        <v>29581.106564056448</v>
      </c>
      <c r="G167" s="144">
        <f t="shared" ref="G167:H167" ca="1" si="194">IF($A167&gt;G$160,"",IF($A167=0,#N/A,G195*G209))</f>
        <v>28879.788634659748</v>
      </c>
      <c r="H167" s="144">
        <f t="shared" ca="1" si="194"/>
        <v>28610.170286000361</v>
      </c>
      <c r="I167" s="144">
        <f t="shared" ref="I167:L167" ca="1" si="195">IF($A167&gt;I$160,"",IF($A167=0,#N/A,I195*I209))</f>
        <v>27913.485197691076</v>
      </c>
      <c r="J167" s="144">
        <f t="shared" ca="1" si="195"/>
        <v>28648.171438290032</v>
      </c>
      <c r="K167" s="144">
        <f t="shared" ca="1" si="195"/>
        <v>29567.910445878217</v>
      </c>
      <c r="L167" s="144">
        <f t="shared" ca="1" si="195"/>
        <v>30822.194654560615</v>
      </c>
      <c r="M167" s="144">
        <f t="shared" ref="M167" ca="1" si="196">IF($A167&gt;M$160,"",IF($A167=0,#N/A,M195*M209))</f>
        <v>22601.66672462791</v>
      </c>
    </row>
    <row r="168" spans="1:13" ht="15" customHeight="1">
      <c r="A168" s="10">
        <f t="shared" si="181"/>
        <v>4</v>
      </c>
      <c r="B168" s="41">
        <f t="shared" ca="1" si="175"/>
        <v>35217.248284880043</v>
      </c>
      <c r="C168" s="144">
        <f t="shared" ref="C168:D168" ca="1" si="197">IF($A168&gt;C$160,"",IF($A168=0,#N/A,C196*C210))</f>
        <v>32930.490477944812</v>
      </c>
      <c r="D168" s="144">
        <f t="shared" ca="1" si="197"/>
        <v>28939.236975020929</v>
      </c>
      <c r="E168" s="144">
        <f t="shared" ref="E168:F168" ca="1" si="198">IF($A168&gt;E$160,"",IF($A168=0,#N/A,E196*E210))</f>
        <v>27276.495847267881</v>
      </c>
      <c r="F168" s="144">
        <f t="shared" ca="1" si="198"/>
        <v>27365.881738940996</v>
      </c>
      <c r="G168" s="144">
        <f t="shared" ref="G168:H168" ca="1" si="199">IF($A168&gt;G$160,"",IF($A168=0,#N/A,G196*G210))</f>
        <v>26747.37774872949</v>
      </c>
      <c r="H168" s="144">
        <f t="shared" ca="1" si="199"/>
        <v>26429.92884363353</v>
      </c>
      <c r="I168" s="144">
        <f t="shared" ref="I168:L168" ca="1" si="200">IF($A168&gt;I$160,"",IF($A168=0,#N/A,I196*I210))</f>
        <v>25606.889563157551</v>
      </c>
      <c r="J168" s="144">
        <f t="shared" ca="1" si="200"/>
        <v>26244.642112074471</v>
      </c>
      <c r="K168" s="144">
        <f t="shared" ca="1" si="200"/>
        <v>26920.599589776553</v>
      </c>
      <c r="L168" s="144">
        <f t="shared" ca="1" si="200"/>
        <v>28518.632507597082</v>
      </c>
      <c r="M168" s="144">
        <f t="shared" ref="M168" ca="1" si="201">IF($A168&gt;M$160,"",IF($A168=0,#N/A,M196*M210))</f>
        <v>21620.972922145789</v>
      </c>
    </row>
    <row r="169" spans="1:13" ht="15" customHeight="1">
      <c r="A169" s="10">
        <f t="shared" si="181"/>
        <v>5</v>
      </c>
      <c r="B169" s="41">
        <f t="shared" ca="1" si="175"/>
        <v>32779.291782678003</v>
      </c>
      <c r="C169" s="144">
        <f t="shared" ref="C169:D169" ca="1" si="202">IF($A169&gt;C$160,"",IF($A169=0,#N/A,C197*C211))</f>
        <v>30695.828510567811</v>
      </c>
      <c r="D169" s="144">
        <f t="shared" ca="1" si="202"/>
        <v>26897.597044649945</v>
      </c>
      <c r="E169" s="144">
        <f t="shared" ref="E169:F169" ca="1" si="203">IF($A169&gt;E$160,"",IF($A169=0,#N/A,E197*E211))</f>
        <v>25034.424120744672</v>
      </c>
      <c r="F169" s="144">
        <f t="shared" ca="1" si="203"/>
        <v>25304.390603831835</v>
      </c>
      <c r="G169" s="144">
        <f t="shared" ref="G169:H169" ca="1" si="204">IF($A169&gt;G$160,"",IF($A169=0,#N/A,G197*G211))</f>
        <v>24761.948382722669</v>
      </c>
      <c r="H169" s="144">
        <f t="shared" ca="1" si="204"/>
        <v>24404.00543719887</v>
      </c>
      <c r="I169" s="144">
        <f t="shared" ref="I169:L169" ca="1" si="205">IF($A169&gt;I$160,"",IF($A169=0,#N/A,I197*I211))</f>
        <v>23477.619497334756</v>
      </c>
      <c r="J169" s="144">
        <f t="shared" ca="1" si="205"/>
        <v>24025.9958951361</v>
      </c>
      <c r="K169" s="144">
        <f t="shared" ca="1" si="205"/>
        <v>24484.054917180107</v>
      </c>
      <c r="L169" s="144">
        <f t="shared" ca="1" si="205"/>
        <v>26378.201938139428</v>
      </c>
      <c r="M169" s="144">
        <f t="shared" ref="M169" ca="1" si="206">IF($A169&gt;M$160,"",IF($A169=0,#N/A,M197*M211))</f>
        <v>20682.368141408995</v>
      </c>
    </row>
    <row r="170" spans="1:13" ht="15" customHeight="1">
      <c r="A170" s="10">
        <f t="shared" si="181"/>
        <v>6</v>
      </c>
      <c r="B170" s="41">
        <f t="shared" ca="1" si="175"/>
        <v>29871.948374796855</v>
      </c>
      <c r="C170" s="144">
        <f t="shared" ref="C170:D170" ca="1" si="207">IF($A170&gt;C$160,"",IF($A170=0,#N/A,C198*C212))</f>
        <v>27963.108818531349</v>
      </c>
      <c r="D170" s="144">
        <f t="shared" ca="1" si="207"/>
        <v>24427.605375790794</v>
      </c>
      <c r="E170" s="144">
        <f t="shared" ref="E170:F170" ca="1" si="208">IF($A170&gt;E$160,"",IF($A170=0,#N/A,E198*E212))</f>
        <v>22343.750734224635</v>
      </c>
      <c r="F170" s="144">
        <f t="shared" ca="1" si="208"/>
        <v>22720.134367497729</v>
      </c>
      <c r="G170" s="144">
        <f t="shared" ref="G170:H170" ca="1" si="209">IF($A170&gt;G$160,"",IF($A170=0,#N/A,G198*G212))</f>
        <v>22265.429405753945</v>
      </c>
      <c r="H170" s="144">
        <f t="shared" ca="1" si="209"/>
        <v>21871.335831879867</v>
      </c>
      <c r="I170" s="144">
        <f t="shared" ref="I170:L170" ca="1" si="210">IF($A170&gt;I$160,"",IF($A170=0,#N/A,I198*I212))</f>
        <v>20980.778841091957</v>
      </c>
      <c r="J170" s="144">
        <f t="shared" ca="1" si="210"/>
        <v>21467.404603983832</v>
      </c>
      <c r="K170" s="144">
        <f t="shared" ca="1" si="210"/>
        <v>21707.685474581489</v>
      </c>
      <c r="L170" s="144">
        <f t="shared" ca="1" si="210"/>
        <v>23761.051660178109</v>
      </c>
      <c r="M170" s="144">
        <f t="shared" ref="M170" ca="1" si="211">IF($A170&gt;M$160,"",IF($A170=0,#N/A,M198*M212))</f>
        <v>20572.589948474222</v>
      </c>
    </row>
    <row r="171" spans="1:13" ht="15" customHeight="1">
      <c r="A171" s="10">
        <f t="shared" si="181"/>
        <v>7</v>
      </c>
      <c r="B171" s="41">
        <f t="shared" ca="1" si="175"/>
        <v>27125.619568406753</v>
      </c>
      <c r="C171" s="144">
        <f t="shared" ref="C171:D171" ca="1" si="212">IF($A171&gt;C$160,"",IF($A171=0,#N/A,C199*C213))</f>
        <v>25388.826464230446</v>
      </c>
      <c r="D171" s="144">
        <f t="shared" ca="1" si="212"/>
        <v>22152.058414941683</v>
      </c>
      <c r="E171" s="144">
        <f t="shared" ref="E171:F171" ca="1" si="213">IF($A171&gt;E$160,"",IF($A171=0,#N/A,E199*E213))</f>
        <v>19961.879102624614</v>
      </c>
      <c r="F171" s="144">
        <f t="shared" ca="1" si="213"/>
        <v>20396.973320976718</v>
      </c>
      <c r="G171" s="144">
        <f t="shared" ref="G171:H171" ca="1" si="214">IF($A171&gt;G$160,"",IF($A171=0,#N/A,G199*G213))</f>
        <v>20020.620522951944</v>
      </c>
      <c r="H171" s="144">
        <f t="shared" ca="1" si="214"/>
        <v>19613.514938669239</v>
      </c>
      <c r="I171" s="144">
        <f t="shared" ref="I171:L171" ca="1" si="215">IF($A171&gt;I$160,"",IF($A171=0,#N/A,I199*I213))</f>
        <v>18785.129834542695</v>
      </c>
      <c r="J171" s="144">
        <f t="shared" ca="1" si="215"/>
        <v>19175.71113108936</v>
      </c>
      <c r="K171" s="144">
        <f t="shared" ca="1" si="215"/>
        <v>19231.974086861002</v>
      </c>
      <c r="L171" s="144">
        <f t="shared" ca="1" si="215"/>
        <v>21393.326204506302</v>
      </c>
      <c r="M171" s="144">
        <f t="shared" ref="M171" ca="1" si="216">IF($A171&gt;M$160,"",IF($A171=0,#N/A,M199*M213))</f>
        <v>20393.728501566809</v>
      </c>
    </row>
    <row r="172" spans="1:13" ht="15" customHeight="1">
      <c r="A172" s="10">
        <f t="shared" si="181"/>
        <v>8</v>
      </c>
      <c r="B172" s="41">
        <f t="shared" ca="1" si="175"/>
        <v>24544.273896856183</v>
      </c>
      <c r="C172" s="144">
        <f t="shared" ref="C172:D172" ca="1" si="217">IF($A172&gt;C$160,"",IF($A172=0,#N/A,C200*C214))</f>
        <v>22974.838714224683</v>
      </c>
      <c r="D172" s="144">
        <f t="shared" ca="1" si="217"/>
        <v>20058.944300165072</v>
      </c>
      <c r="E172" s="144">
        <f t="shared" ref="E172:F172" ca="1" si="218">IF($A172&gt;E$160,"",IF($A172=0,#N/A,E200*E214))</f>
        <v>17850.787385757209</v>
      </c>
      <c r="F172" s="144">
        <f t="shared" ca="1" si="218"/>
        <v>18307.902242585926</v>
      </c>
      <c r="G172" s="144">
        <f t="shared" ref="G172:H172" ca="1" si="219">IF($A172&gt;G$160,"",IF($A172=0,#N/A,G200*G214))</f>
        <v>18001.293744428051</v>
      </c>
      <c r="H172" s="144">
        <f t="shared" ca="1" si="219"/>
        <v>17598.352781914069</v>
      </c>
      <c r="I172" s="144">
        <f t="shared" ref="I172:L172" ca="1" si="220">IF($A172&gt;I$160,"",IF($A172=0,#N/A,I200*I214))</f>
        <v>16851.297805751998</v>
      </c>
      <c r="J172" s="144">
        <f t="shared" ca="1" si="220"/>
        <v>17124.488356226728</v>
      </c>
      <c r="K172" s="144">
        <f t="shared" ca="1" si="220"/>
        <v>17026.599863426753</v>
      </c>
      <c r="L172" s="144">
        <f t="shared" ca="1" si="220"/>
        <v>19252.925128430434</v>
      </c>
      <c r="M172" s="144">
        <f t="shared" ref="M172" ca="1" si="221">IF($A172&gt;M$160,"",IF($A172=0,#N/A,M200*M214))</f>
        <v>20144.667856158092</v>
      </c>
    </row>
    <row r="173" spans="1:13" ht="15" customHeight="1">
      <c r="A173" s="10">
        <f t="shared" si="181"/>
        <v>9</v>
      </c>
      <c r="B173" s="41">
        <f t="shared" ca="1" si="175"/>
        <v>22129.936165574276</v>
      </c>
      <c r="C173" s="144">
        <f t="shared" ref="C173:D173" ca="1" si="222">IF($A173&gt;C$160,"",IF($A173=0,#N/A,C201*C215))</f>
        <v>20721.404125161927</v>
      </c>
      <c r="D173" s="144">
        <f t="shared" ca="1" si="222"/>
        <v>18136.730013498152</v>
      </c>
      <c r="E173" s="144">
        <f t="shared" ref="E173:F173" ca="1" si="223">IF($A173&gt;E$160,"",IF($A173=0,#N/A,E201*E215))</f>
        <v>15977.422530062291</v>
      </c>
      <c r="F173" s="144">
        <f t="shared" ca="1" si="223"/>
        <v>16428.821187375779</v>
      </c>
      <c r="G173" s="144">
        <f t="shared" ref="G173:H173" ca="1" si="224">IF($A173&gt;G$160,"",IF($A173=0,#N/A,G201*G215))</f>
        <v>16184.074304400368</v>
      </c>
      <c r="H173" s="144">
        <f t="shared" ca="1" si="224"/>
        <v>15797.663326303735</v>
      </c>
      <c r="I173" s="144">
        <f t="shared" ref="I173:L173" ca="1" si="225">IF($A173&gt;I$160,"",IF($A173=0,#N/A,I201*I215))</f>
        <v>15145.427655838852</v>
      </c>
      <c r="J173" s="144">
        <f t="shared" ca="1" si="225"/>
        <v>15289.85824088835</v>
      </c>
      <c r="K173" s="144">
        <f t="shared" ca="1" si="225"/>
        <v>15064.187666766462</v>
      </c>
      <c r="L173" s="144">
        <f t="shared" ca="1" si="225"/>
        <v>17319.594206530106</v>
      </c>
      <c r="M173" s="144">
        <f t="shared" ref="M173" ca="1" si="226">IF($A173&gt;M$160,"",IF($A173=0,#N/A,M201*M215))</f>
        <v>19825.169977623016</v>
      </c>
    </row>
    <row r="174" spans="1:13" ht="15" customHeight="1">
      <c r="A174" s="10">
        <f t="shared" si="181"/>
        <v>10</v>
      </c>
      <c r="B174" s="41">
        <f t="shared" ca="1" si="175"/>
        <v>19882.815005308203</v>
      </c>
      <c r="C174" s="144">
        <f t="shared" ref="C174:D174" ca="1" si="227">IF($A174&gt;C$160,"",IF($A174=0,#N/A,C202*C216))</f>
        <v>18627.304325327827</v>
      </c>
      <c r="D174" s="144">
        <f t="shared" ca="1" si="227"/>
        <v>16374.36126425184</v>
      </c>
      <c r="E174" s="144">
        <f t="shared" ref="E174:F174" ca="1" si="228">IF($A174&gt;E$160,"",IF($A174=0,#N/A,E202*E216))</f>
        <v>14313.020202469092</v>
      </c>
      <c r="F174" s="144">
        <f t="shared" ca="1" si="228"/>
        <v>14738.212864324227</v>
      </c>
      <c r="G174" s="144">
        <f t="shared" ref="G174:H174" ca="1" si="229">IF($A174&gt;G$160,"",IF($A174=0,#N/A,G202*G216))</f>
        <v>14548.119310017995</v>
      </c>
      <c r="H174" s="144">
        <f t="shared" ca="1" si="229"/>
        <v>14186.741343597696</v>
      </c>
      <c r="I174" s="144">
        <f t="shared" ref="I174:L174" ca="1" si="230">IF($A174&gt;I$160,"",IF($A174=0,#N/A,I202*I216))</f>
        <v>13638.372358260536</v>
      </c>
      <c r="J174" s="144">
        <f t="shared" ca="1" si="230"/>
        <v>13650.249621272655</v>
      </c>
      <c r="K174" s="144">
        <f t="shared" ca="1" si="230"/>
        <v>13320.028116926107</v>
      </c>
      <c r="L174" s="144">
        <f t="shared" ca="1" si="230"/>
        <v>15574.777914343198</v>
      </c>
      <c r="M174" s="144">
        <f t="shared" ref="M174" ca="1" si="231">IF($A174&gt;M$160,"",IF($A174=0,#N/A,M202*M216))</f>
        <v>19435.924419380372</v>
      </c>
    </row>
    <row r="175" spans="1:13" ht="15" customHeight="1">
      <c r="C175" s="145"/>
      <c r="D175" s="145"/>
      <c r="E175" s="145"/>
      <c r="F175" s="145"/>
      <c r="G175" s="145"/>
      <c r="H175" s="145"/>
      <c r="I175" s="145"/>
      <c r="J175" s="145"/>
      <c r="K175" s="145"/>
      <c r="L175" s="145"/>
      <c r="M175" s="145"/>
    </row>
    <row r="176" spans="1:13" ht="15" customHeight="1">
      <c r="C176" s="145"/>
      <c r="D176" s="145"/>
      <c r="E176" s="145"/>
      <c r="F176" s="145"/>
      <c r="G176" s="145"/>
      <c r="H176" s="145"/>
      <c r="I176" s="145"/>
      <c r="J176" s="145"/>
      <c r="K176" s="145"/>
      <c r="L176" s="145"/>
      <c r="M176" s="145"/>
    </row>
    <row r="177" spans="1:13" ht="15" customHeight="1">
      <c r="A177" s="106" t="s">
        <v>511</v>
      </c>
      <c r="B177" s="96"/>
      <c r="C177" s="146"/>
      <c r="D177" s="146"/>
      <c r="E177" s="146"/>
      <c r="F177" s="146"/>
      <c r="G177" s="146"/>
      <c r="H177" s="146"/>
      <c r="I177" s="146"/>
      <c r="J177" s="146"/>
      <c r="K177" s="146"/>
      <c r="L177" s="146"/>
      <c r="M177" s="146"/>
    </row>
    <row r="178" spans="1:13" ht="15" customHeight="1">
      <c r="A178" s="10">
        <f t="shared" ref="A178:A188" si="232">A164</f>
        <v>0</v>
      </c>
      <c r="B178" s="97" t="e">
        <f t="shared" ref="B178:B188" ca="1" si="233">IF($A178&gt;B$160,"",IF($A178=0,#N/A,B192/OFFSET(B192,-1,0)-1))</f>
        <v>#N/A</v>
      </c>
      <c r="C178" s="146" t="e">
        <f t="shared" ref="C178:D178" ca="1" si="234">IF($A178&gt;C$160,"",IF($A178=0,#N/A,C192/OFFSET(C192,-1,0)-1))</f>
        <v>#N/A</v>
      </c>
      <c r="D178" s="146" t="e">
        <f t="shared" ca="1" si="234"/>
        <v>#N/A</v>
      </c>
      <c r="E178" s="146" t="e">
        <f t="shared" ref="E178:F178" ca="1" si="235">IF($A178&gt;E$160,"",IF($A178=0,#N/A,E192/OFFSET(E192,-1,0)-1))</f>
        <v>#N/A</v>
      </c>
      <c r="F178" s="146" t="e">
        <f t="shared" ca="1" si="235"/>
        <v>#N/A</v>
      </c>
      <c r="G178" s="146" t="e">
        <f t="shared" ref="G178:H178" ca="1" si="236">IF($A178&gt;G$160,"",IF($A178=0,#N/A,G192/OFFSET(G192,-1,0)-1))</f>
        <v>#N/A</v>
      </c>
      <c r="H178" s="146" t="e">
        <f t="shared" ca="1" si="236"/>
        <v>#N/A</v>
      </c>
      <c r="I178" s="146" t="e">
        <f t="shared" ref="I178:L178" ca="1" si="237">IF($A178&gt;I$160,"",IF($A178=0,#N/A,I192/OFFSET(I192,-1,0)-1))</f>
        <v>#N/A</v>
      </c>
      <c r="J178" s="146" t="e">
        <f t="shared" ca="1" si="237"/>
        <v>#N/A</v>
      </c>
      <c r="K178" s="146" t="e">
        <f t="shared" ca="1" si="237"/>
        <v>#N/A</v>
      </c>
      <c r="L178" s="146" t="e">
        <f t="shared" ca="1" si="237"/>
        <v>#N/A</v>
      </c>
      <c r="M178" s="146" t="e">
        <f t="shared" ref="M178" ca="1" si="238">IF($A178&gt;M$160,"",IF($A178=0,#N/A,M192/OFFSET(M192,-1,0)-1))</f>
        <v>#N/A</v>
      </c>
    </row>
    <row r="179" spans="1:13" ht="15" customHeight="1">
      <c r="A179" s="10">
        <f t="shared" si="232"/>
        <v>1</v>
      </c>
      <c r="B179" s="97">
        <f t="shared" ca="1" si="233"/>
        <v>1.5613299587391216E-2</v>
      </c>
      <c r="C179" s="146">
        <f t="shared" ref="C179:D179" ca="1" si="239">IF($A179&gt;C$160,"",IF($A179=0,#N/A,C193/OFFSET(C193,-1,0)-1))</f>
        <v>1.7288444510881851E-2</v>
      </c>
      <c r="D179" s="146">
        <f t="shared" ca="1" si="239"/>
        <v>1.9349288023805089E-2</v>
      </c>
      <c r="E179" s="146">
        <f t="shared" ref="E179:F179" ca="1" si="240">IF($A179&gt;E$160,"",IF($A179=0,#N/A,E193/OFFSET(E193,-1,0)-1))</f>
        <v>1.9713322206589279E-2</v>
      </c>
      <c r="F179" s="146">
        <f t="shared" ca="1" si="240"/>
        <v>2.0493572496813162E-2</v>
      </c>
      <c r="G179" s="146">
        <f t="shared" ref="G179:H179" ca="1" si="241">IF($A179&gt;G$160,"",IF($A179=0,#N/A,G193/OFFSET(G193,-1,0)-1))</f>
        <v>2.1627355521506519E-2</v>
      </c>
      <c r="H179" s="146">
        <f t="shared" ca="1" si="241"/>
        <v>2.041415155992099E-2</v>
      </c>
      <c r="I179" s="146">
        <f t="shared" ref="I179:L179" ca="1" si="242">IF($A179&gt;I$160,"",IF($A179=0,#N/A,I193/OFFSET(I193,-1,0)-1))</f>
        <v>2.8974178307822784E-2</v>
      </c>
      <c r="J179" s="146">
        <f t="shared" ca="1" si="242"/>
        <v>2.6810892581872414E-2</v>
      </c>
      <c r="K179" s="146">
        <f t="shared" ca="1" si="242"/>
        <v>2.1643949523819206E-2</v>
      </c>
      <c r="L179" s="146">
        <f t="shared" ca="1" si="242"/>
        <v>4.3048479313697596E-2</v>
      </c>
      <c r="M179" s="146">
        <f t="shared" ref="M179" ca="1" si="243">IF($A179&gt;M$160,"",IF($A179=0,#N/A,M193/OFFSET(M193,-1,0)-1))</f>
        <v>7.6757094789344338E-2</v>
      </c>
    </row>
    <row r="180" spans="1:13" ht="15" customHeight="1">
      <c r="A180" s="10">
        <f t="shared" si="232"/>
        <v>2</v>
      </c>
      <c r="B180" s="97">
        <f t="shared" ca="1" si="233"/>
        <v>1.2782360288719152E-2</v>
      </c>
      <c r="C180" s="146">
        <f t="shared" ref="C180:D180" ca="1" si="244">IF($A180&gt;C$160,"",IF($A180=0,#N/A,C194/OFFSET(C194,-1,0)-1))</f>
        <v>1.4672490037171304E-2</v>
      </c>
      <c r="D180" s="146">
        <f t="shared" ca="1" si="244"/>
        <v>1.6968139780400238E-2</v>
      </c>
      <c r="E180" s="146">
        <f t="shared" ref="E180:F180" ca="1" si="245">IF($A180&gt;E$160,"",IF($A180=0,#N/A,E194/OFFSET(E194,-1,0)-1))</f>
        <v>1.7886834365595794E-2</v>
      </c>
      <c r="F180" s="146">
        <f t="shared" ca="1" si="245"/>
        <v>1.861606126007076E-2</v>
      </c>
      <c r="G180" s="146">
        <f t="shared" ref="G180:H180" ca="1" si="246">IF($A180&gt;G$160,"",IF($A180=0,#N/A,G194/OFFSET(G194,-1,0)-1))</f>
        <v>1.9861028577768947E-2</v>
      </c>
      <c r="H180" s="146">
        <f t="shared" ca="1" si="246"/>
        <v>1.8527846602936382E-2</v>
      </c>
      <c r="I180" s="146">
        <f t="shared" ref="I180:L180" ca="1" si="247">IF($A180&gt;I$160,"",IF($A180=0,#N/A,I194/OFFSET(I194,-1,0)-1))</f>
        <v>2.6699224073996497E-2</v>
      </c>
      <c r="J180" s="146">
        <f t="shared" ca="1" si="247"/>
        <v>2.4305948553759338E-2</v>
      </c>
      <c r="K180" s="146">
        <f t="shared" ca="1" si="247"/>
        <v>1.8706562580136588E-2</v>
      </c>
      <c r="L180" s="146">
        <f t="shared" ca="1" si="247"/>
        <v>4.1422102553916096E-2</v>
      </c>
      <c r="M180" s="146">
        <f t="shared" ref="M180" ca="1" si="248">IF($A180&gt;M$160,"",IF($A180=0,#N/A,M194/OFFSET(M194,-1,0)-1))</f>
        <v>7.4958396085740953E-2</v>
      </c>
    </row>
    <row r="181" spans="1:13" ht="15" customHeight="1">
      <c r="A181" s="10">
        <f t="shared" si="232"/>
        <v>3</v>
      </c>
      <c r="B181" s="97">
        <f t="shared" ca="1" si="233"/>
        <v>1.2050910037905593E-2</v>
      </c>
      <c r="C181" s="146">
        <f t="shared" ref="C181:D181" ca="1" si="249">IF($A181&gt;C$160,"",IF($A181=0,#N/A,C195/OFFSET(C195,-1,0)-1))</f>
        <v>1.4040283322969582E-2</v>
      </c>
      <c r="D181" s="146">
        <f t="shared" ca="1" si="249"/>
        <v>1.6446524043951971E-2</v>
      </c>
      <c r="E181" s="146">
        <f t="shared" ref="E181:F181" ca="1" si="250">IF($A181&gt;E$160,"",IF($A181=0,#N/A,E195/OFFSET(E195,-1,0)-1))</f>
        <v>1.740643509343176E-2</v>
      </c>
      <c r="F181" s="146">
        <f t="shared" ca="1" si="250"/>
        <v>1.8167145467925305E-2</v>
      </c>
      <c r="G181" s="146">
        <f t="shared" ref="G181:H181" ca="1" si="251">IF($A181&gt;G$160,"",IF($A181=0,#N/A,G195/OFFSET(G195,-1,0)-1))</f>
        <v>1.9463348738476771E-2</v>
      </c>
      <c r="H181" s="146">
        <f t="shared" ca="1" si="251"/>
        <v>1.807518016574039E-2</v>
      </c>
      <c r="I181" s="146">
        <f t="shared" ref="I181:L181" ca="1" si="252">IF($A181&gt;I$160,"",IF($A181=0,#N/A,I195/OFFSET(I195,-1,0)-1))</f>
        <v>2.6170416662806506E-2</v>
      </c>
      <c r="J181" s="146">
        <f t="shared" ca="1" si="252"/>
        <v>2.3661429911010057E-2</v>
      </c>
      <c r="K181" s="146">
        <f t="shared" ca="1" si="252"/>
        <v>1.7745265910887431E-2</v>
      </c>
      <c r="L181" s="146">
        <f t="shared" ca="1" si="252"/>
        <v>4.1090692002257123E-2</v>
      </c>
      <c r="M181" s="146">
        <f t="shared" ref="M181" ca="1" si="253">IF($A181&gt;M$160,"",IF($A181=0,#N/A,M195/OFFSET(M195,-1,0)-1))</f>
        <v>7.493475073339817E-2</v>
      </c>
    </row>
    <row r="182" spans="1:13" ht="15" customHeight="1">
      <c r="A182" s="10">
        <f t="shared" si="232"/>
        <v>4</v>
      </c>
      <c r="B182" s="97">
        <f t="shared" ca="1" si="233"/>
        <v>1.1279059904714117E-2</v>
      </c>
      <c r="C182" s="146">
        <f t="shared" ref="C182:D182" ca="1" si="254">IF($A182&gt;C$160,"",IF($A182=0,#N/A,C196/OFFSET(C196,-1,0)-1))</f>
        <v>1.3375707269104309E-2</v>
      </c>
      <c r="D182" s="146">
        <f t="shared" ca="1" si="254"/>
        <v>1.5900734160776864E-2</v>
      </c>
      <c r="E182" s="146">
        <f t="shared" ref="E182:F182" ca="1" si="255">IF($A182&gt;E$160,"",IF($A182=0,#N/A,E196/OFFSET(E196,-1,0)-1))</f>
        <v>1.6904699348915253E-2</v>
      </c>
      <c r="F182" s="146">
        <f t="shared" ca="1" si="255"/>
        <v>1.7698977211720646E-2</v>
      </c>
      <c r="G182" s="146">
        <f t="shared" ref="G182:H182" ca="1" si="256">IF($A182&gt;G$160,"",IF($A182=0,#N/A,G196/OFFSET(G196,-1,0)-1))</f>
        <v>1.9049646720097124E-2</v>
      </c>
      <c r="H182" s="146">
        <f t="shared" ca="1" si="256"/>
        <v>1.7603016877478339E-2</v>
      </c>
      <c r="I182" s="146">
        <f t="shared" ref="I182:L182" ca="1" si="257">IF($A182&gt;I$160,"",IF($A182=0,#N/A,I196/OFFSET(I196,-1,0)-1))</f>
        <v>2.5617049470765707E-2</v>
      </c>
      <c r="J182" s="146">
        <f t="shared" ca="1" si="257"/>
        <v>2.2983744639236914E-2</v>
      </c>
      <c r="K182" s="146">
        <f t="shared" ca="1" si="257"/>
        <v>1.6723037750260072E-2</v>
      </c>
      <c r="L182" s="146">
        <f t="shared" ca="1" si="257"/>
        <v>4.0747242645058357E-2</v>
      </c>
      <c r="M182" s="146">
        <f t="shared" ref="M182" ca="1" si="258">IF($A182&gt;M$160,"",IF($A182=0,#N/A,M196/OFFSET(M196,-1,0)-1))</f>
        <v>7.4910882540361268E-2</v>
      </c>
    </row>
    <row r="183" spans="1:13" ht="15" customHeight="1">
      <c r="A183" s="10">
        <f t="shared" si="232"/>
        <v>5</v>
      </c>
      <c r="B183" s="97">
        <f t="shared" ca="1" si="233"/>
        <v>1.046336774548462E-2</v>
      </c>
      <c r="C183" s="146">
        <f t="shared" ref="C183:D183" ca="1" si="259">IF($A183&gt;C$160,"",IF($A183=0,#N/A,C197/OFFSET(C197,-1,0)-1))</f>
        <v>1.2676210568782542E-2</v>
      </c>
      <c r="D183" s="146">
        <f t="shared" ca="1" si="259"/>
        <v>1.5329049748648238E-2</v>
      </c>
      <c r="E183" s="146">
        <f t="shared" ref="E183:F183" ca="1" si="260">IF($A183&gt;E$160,"",IF($A183=0,#N/A,E197/OFFSET(E197,-1,0)-1))</f>
        <v>1.6380173390381225E-2</v>
      </c>
      <c r="F183" s="146">
        <f t="shared" ca="1" si="260"/>
        <v>1.7210290843216791E-2</v>
      </c>
      <c r="G183" s="146">
        <f t="shared" ref="G183:H183" ca="1" si="261">IF($A183&gt;G$160,"",IF($A183=0,#N/A,G197/OFFSET(G197,-1,0)-1))</f>
        <v>1.8618934336293469E-2</v>
      </c>
      <c r="H183" s="146">
        <f t="shared" ca="1" si="261"/>
        <v>1.7110069387474613E-2</v>
      </c>
      <c r="I183" s="146">
        <f t="shared" ref="I183:L183" ca="1" si="262">IF($A183&gt;I$160,"",IF($A183=0,#N/A,I197/OFFSET(I197,-1,0)-1))</f>
        <v>2.5037370850155227E-2</v>
      </c>
      <c r="J183" s="146">
        <f t="shared" ca="1" si="262"/>
        <v>2.227026501891749E-2</v>
      </c>
      <c r="K183" s="146">
        <f t="shared" ca="1" si="262"/>
        <v>1.5633895303934331E-2</v>
      </c>
      <c r="L183" s="146">
        <f t="shared" ca="1" si="262"/>
        <v>4.0391086365627826E-2</v>
      </c>
      <c r="M183" s="146">
        <f t="shared" ref="M183" ca="1" si="263">IF($A183&gt;M$160,"",IF($A183=0,#N/A,M197/OFFSET(M197,-1,0)-1))</f>
        <v>7.4886788341540722E-2</v>
      </c>
    </row>
    <row r="184" spans="1:13" ht="15" customHeight="1">
      <c r="A184" s="10">
        <f t="shared" si="232"/>
        <v>6</v>
      </c>
      <c r="B184" s="97">
        <f t="shared" ca="1" si="233"/>
        <v>-1.1695414951378047E-2</v>
      </c>
      <c r="C184" s="146">
        <f t="shared" ref="C184:D184" ca="1" si="264">IF($A184&gt;C$160,"",IF($A184=0,#N/A,C198/OFFSET(C198,-1,0)-1))</f>
        <v>-1.1484205514706303E-2</v>
      </c>
      <c r="D184" s="146">
        <f t="shared" ca="1" si="264"/>
        <v>-1.0169110120158642E-2</v>
      </c>
      <c r="E184" s="146">
        <f t="shared" ref="E184:F184" ca="1" si="265">IF($A184&gt;E$160,"",IF($A184=0,#N/A,E198/OFFSET(E198,-1,0)-1))</f>
        <v>-1.6508394016349515E-2</v>
      </c>
      <c r="F184" s="146">
        <f t="shared" ca="1" si="265"/>
        <v>-1.5873428990708982E-2</v>
      </c>
      <c r="G184" s="146">
        <f t="shared" ref="G184:H184" ca="1" si="266">IF($A184&gt;G$160,"",IF($A184=0,#N/A,G198/OFFSET(G198,-1,0)-1))</f>
        <v>-1.4289187652206325E-2</v>
      </c>
      <c r="H184" s="146">
        <f t="shared" ca="1" si="266"/>
        <v>-1.6635062664716815E-2</v>
      </c>
      <c r="I184" s="146">
        <f t="shared" ref="I184:L184" ca="1" si="267">IF($A184&gt;I$160,"",IF($A184=0,#N/A,I198/OFFSET(I198,-1,0)-1))</f>
        <v>-7.6896196510639614E-3</v>
      </c>
      <c r="J184" s="146">
        <f t="shared" ca="1" si="267"/>
        <v>-8.7998487159669514E-3</v>
      </c>
      <c r="K184" s="146">
        <f t="shared" ca="1" si="267"/>
        <v>-1.6432133098785329E-2</v>
      </c>
      <c r="L184" s="146">
        <f t="shared" ca="1" si="267"/>
        <v>5.1393724605657276E-3</v>
      </c>
      <c r="M184" s="146">
        <f t="shared" ref="M184" ca="1" si="268">IF($A184&gt;M$160,"",IF($A184=0,#N/A,M198/OFFSET(M198,-1,0)-1))</f>
        <v>0.10901587607085195</v>
      </c>
    </row>
    <row r="185" spans="1:13" ht="15" customHeight="1">
      <c r="A185" s="10">
        <f t="shared" si="232"/>
        <v>7</v>
      </c>
      <c r="B185" s="97">
        <f t="shared" ca="1" si="233"/>
        <v>-1.6231581664025274E-2</v>
      </c>
      <c r="C185" s="146">
        <f t="shared" ref="C185:D185" ca="1" si="269">IF($A185&gt;C$160,"",IF($A185=0,#N/A,C199/OFFSET(C199,-1,0)-1))</f>
        <v>-1.5938676556777054E-2</v>
      </c>
      <c r="D185" s="146">
        <f t="shared" ca="1" si="269"/>
        <v>-1.3861939172644444E-2</v>
      </c>
      <c r="E185" s="146">
        <f t="shared" ref="E185:F185" ca="1" si="270">IF($A185&gt;E$160,"",IF($A185=0,#N/A,E199/OFFSET(E199,-1,0)-1))</f>
        <v>-2.0438264536562833E-2</v>
      </c>
      <c r="F185" s="146">
        <f t="shared" ca="1" si="270"/>
        <v>-1.9615167163812064E-2</v>
      </c>
      <c r="G185" s="146">
        <f t="shared" ref="G185:H185" ca="1" si="271">IF($A185&gt;G$160,"",IF($A185=0,#N/A,G199/OFFSET(G199,-1,0)-1))</f>
        <v>-1.7938055206656922E-2</v>
      </c>
      <c r="H185" s="146">
        <f t="shared" ca="1" si="271"/>
        <v>-1.9897190964999534E-2</v>
      </c>
      <c r="I185" s="146">
        <f t="shared" ref="I185:L185" ca="1" si="272">IF($A185&gt;I$160,"",IF($A185=0,#N/A,I199/OFFSET(I199,-1,0)-1))</f>
        <v>-1.2607653120620066E-2</v>
      </c>
      <c r="J185" s="146">
        <f t="shared" ca="1" si="272"/>
        <v>-1.5638991507223809E-2</v>
      </c>
      <c r="K185" s="146">
        <f t="shared" ca="1" si="272"/>
        <v>-2.3660028335639849E-2</v>
      </c>
      <c r="L185" s="146">
        <f t="shared" ca="1" si="272"/>
        <v>-3.4108929591754045E-3</v>
      </c>
      <c r="M185" s="146">
        <f t="shared" ref="M185" ca="1" si="273">IF($A185&gt;M$160,"",IF($A185=0,#N/A,M199/OFFSET(M199,-1,0)-1))</f>
        <v>9.6582818368142531E-2</v>
      </c>
    </row>
    <row r="186" spans="1:13" ht="15" customHeight="1">
      <c r="A186" s="10">
        <f t="shared" si="232"/>
        <v>8</v>
      </c>
      <c r="B186" s="97">
        <f t="shared" ca="1" si="233"/>
        <v>-2.0742855519780057E-2</v>
      </c>
      <c r="C186" s="146">
        <f t="shared" ref="C186:D186" ca="1" si="274">IF($A186&gt;C$160,"",IF($A186=0,#N/A,C200/OFFSET(C200,-1,0)-1))</f>
        <v>-2.0370858308954354E-2</v>
      </c>
      <c r="D186" s="146">
        <f t="shared" ca="1" si="274"/>
        <v>-1.7557382788319864E-2</v>
      </c>
      <c r="E186" s="146">
        <f t="shared" ref="E186:F186" ca="1" si="275">IF($A186&gt;E$160,"",IF($A186=0,#N/A,E200/OFFSET(E200,-1,0)-1))</f>
        <v>-2.441333749873742E-2</v>
      </c>
      <c r="F186" s="146">
        <f t="shared" ca="1" si="275"/>
        <v>-2.3404899100204268E-2</v>
      </c>
      <c r="G186" s="146">
        <f t="shared" ref="G186:H186" ca="1" si="276">IF($A186&gt;G$160,"",IF($A186=0,#N/A,G200/OFFSET(G200,-1,0)-1))</f>
        <v>-2.1633044421233372E-2</v>
      </c>
      <c r="H186" s="146">
        <f t="shared" ca="1" si="276"/>
        <v>-2.3229940005456862E-2</v>
      </c>
      <c r="I186" s="146">
        <f t="shared" ref="I186:L186" ca="1" si="277">IF($A186&gt;I$160,"",IF($A186=0,#N/A,I200/OFFSET(I200,-1,0)-1))</f>
        <v>-1.7544565930330269E-2</v>
      </c>
      <c r="J186" s="146">
        <f t="shared" ca="1" si="277"/>
        <v>-2.2428337089581141E-2</v>
      </c>
      <c r="K186" s="146">
        <f t="shared" ca="1" si="277"/>
        <v>-3.0847575968104723E-2</v>
      </c>
      <c r="L186" s="146">
        <f t="shared" ca="1" si="277"/>
        <v>-1.1922337000160654E-2</v>
      </c>
      <c r="M186" s="146">
        <f t="shared" ref="M186" ca="1" si="278">IF($A186&gt;M$160,"",IF($A186=0,#N/A,M200/OFFSET(M200,-1,0)-1))</f>
        <v>8.4063934817276476E-2</v>
      </c>
    </row>
    <row r="187" spans="1:13" ht="15" customHeight="1">
      <c r="A187" s="10">
        <f t="shared" si="232"/>
        <v>9</v>
      </c>
      <c r="B187" s="97">
        <f t="shared" ca="1" si="233"/>
        <v>-2.5223169347120655E-2</v>
      </c>
      <c r="C187" s="146">
        <f t="shared" ref="C187:D187" ca="1" si="279">IF($A187&gt;C$160,"",IF($A187=0,#N/A,C201/OFFSET(C201,-1,0)-1))</f>
        <v>-2.4775019316753299E-2</v>
      </c>
      <c r="D187" s="146">
        <f t="shared" ca="1" si="279"/>
        <v>-2.125279007085612E-2</v>
      </c>
      <c r="E187" s="146">
        <f t="shared" ref="E187:F187" ca="1" si="280">IF($A187&gt;E$160,"",IF($A187=0,#N/A,E201/OFFSET(E201,-1,0)-1))</f>
        <v>-2.8435344810756047E-2</v>
      </c>
      <c r="F187" s="146">
        <f t="shared" ca="1" si="280"/>
        <v>-2.7244895790864976E-2</v>
      </c>
      <c r="G187" s="146">
        <f t="shared" ref="G187:H187" ca="1" si="281">IF($A187&gt;G$160,"",IF($A187=0,#N/A,G201/OFFSET(G201,-1,0)-1))</f>
        <v>-2.537653817911012E-2</v>
      </c>
      <c r="H187" s="146">
        <f t="shared" ca="1" si="281"/>
        <v>-2.6638829595073243E-2</v>
      </c>
      <c r="I187" s="146">
        <f t="shared" ref="I187:L187" ca="1" si="282">IF($A187&gt;I$160,"",IF($A187=0,#N/A,I201/OFFSET(I201,-1,0)-1))</f>
        <v>-2.2498297209546436E-2</v>
      </c>
      <c r="J187" s="146">
        <f t="shared" ca="1" si="282"/>
        <v>-2.9157342094430105E-2</v>
      </c>
      <c r="K187" s="146">
        <f t="shared" ca="1" si="282"/>
        <v>-3.7981167136331262E-2</v>
      </c>
      <c r="L187" s="146">
        <f t="shared" ca="1" si="282"/>
        <v>-2.038841097812949E-2</v>
      </c>
      <c r="M187" s="146">
        <f t="shared" ref="M187" ca="1" si="283">IF($A187&gt;M$160,"",IF($A187=0,#N/A,M201/OFFSET(M201,-1,0)-1))</f>
        <v>7.1465936112201867E-2</v>
      </c>
    </row>
    <row r="188" spans="1:13" ht="15" customHeight="1">
      <c r="A188" s="10">
        <f t="shared" si="232"/>
        <v>10</v>
      </c>
      <c r="B188" s="97">
        <f t="shared" ca="1" si="233"/>
        <v>-2.9665515296997347E-2</v>
      </c>
      <c r="C188" s="146">
        <f t="shared" ref="C188:D188" ca="1" si="284">IF($A188&gt;C$160,"",IF($A188=0,#N/A,C202/OFFSET(C202,-1,0)-1))</f>
        <v>-2.9144523708918846E-2</v>
      </c>
      <c r="D188" s="146">
        <f t="shared" ca="1" si="284"/>
        <v>-2.4944951364962442E-2</v>
      </c>
      <c r="E188" s="146">
        <f t="shared" ref="E188:F188" ca="1" si="285">IF($A188&gt;E$160,"",IF($A188=0,#N/A,E202/OFFSET(E202,-1,0)-1))</f>
        <v>-3.2505913292239064E-2</v>
      </c>
      <c r="F188" s="146">
        <f t="shared" ca="1" si="285"/>
        <v>-3.1137431473093002E-2</v>
      </c>
      <c r="G188" s="146">
        <f t="shared" ref="G188:H188" ca="1" si="286">IF($A188&gt;G$160,"",IF($A188=0,#N/A,G202/OFFSET(G202,-1,0)-1))</f>
        <v>-2.9170988757297511E-2</v>
      </c>
      <c r="H188" s="146">
        <f t="shared" ca="1" si="286"/>
        <v>-3.0129941712689345E-2</v>
      </c>
      <c r="I188" s="146">
        <f t="shared" ref="I188:L188" ca="1" si="287">IF($A188&gt;I$160,"",IF($A188=0,#N/A,I202/OFFSET(I202,-1,0)-1))</f>
        <v>-2.7466078764510904E-2</v>
      </c>
      <c r="J188" s="146">
        <f t="shared" ca="1" si="287"/>
        <v>-3.5813847407002997E-2</v>
      </c>
      <c r="K188" s="146">
        <f t="shared" ca="1" si="287"/>
        <v>-4.5044400368381532E-2</v>
      </c>
      <c r="L188" s="146">
        <f t="shared" ca="1" si="287"/>
        <v>-2.8801717470457566E-2</v>
      </c>
      <c r="M188" s="146">
        <f t="shared" ref="M188" ca="1" si="288">IF($A188&gt;M$160,"",IF($A188=0,#N/A,M202/OFFSET(M202,-1,0)-1))</f>
        <v>5.8795379642315737E-2</v>
      </c>
    </row>
    <row r="189" spans="1:13" ht="15" customHeight="1">
      <c r="A189" s="104"/>
      <c r="B189" s="50"/>
      <c r="C189" s="147"/>
      <c r="D189" s="147"/>
      <c r="E189" s="147"/>
      <c r="F189" s="147"/>
      <c r="G189" s="147"/>
      <c r="H189" s="147"/>
      <c r="I189" s="147"/>
      <c r="J189" s="147"/>
      <c r="K189" s="147"/>
      <c r="L189" s="147"/>
      <c r="M189" s="147"/>
    </row>
    <row r="190" spans="1:13" ht="15" customHeight="1">
      <c r="A190" s="104"/>
      <c r="B190" s="50"/>
      <c r="C190" s="147"/>
      <c r="D190" s="147"/>
      <c r="E190" s="147"/>
      <c r="F190" s="147"/>
      <c r="G190" s="147"/>
      <c r="H190" s="147"/>
      <c r="I190" s="147"/>
      <c r="J190" s="147"/>
      <c r="K190" s="147"/>
      <c r="L190" s="147"/>
      <c r="M190" s="147"/>
    </row>
    <row r="191" spans="1:13" ht="15" customHeight="1">
      <c r="A191" s="106" t="str">
        <f>+A145</f>
        <v>FCFF</v>
      </c>
      <c r="B191" s="94"/>
      <c r="C191" s="144"/>
      <c r="D191" s="144"/>
      <c r="E191" s="144"/>
      <c r="F191" s="144"/>
      <c r="G191" s="144"/>
      <c r="H191" s="144"/>
      <c r="I191" s="144"/>
      <c r="J191" s="144"/>
      <c r="K191" s="144"/>
      <c r="L191" s="144"/>
      <c r="M191" s="144"/>
    </row>
    <row r="192" spans="1:13" ht="15" customHeight="1">
      <c r="A192" s="10">
        <f t="shared" ref="A192:A202" si="289">A164</f>
        <v>0</v>
      </c>
      <c r="B192" s="41">
        <f t="shared" ref="B192:C202" ca="1" si="290">IF($A192&gt;B$160,"",IF($A192=0,B$304*(1-B$815),+B304-B276))</f>
        <v>46466.851202618192</v>
      </c>
      <c r="C192" s="144">
        <f t="shared" ca="1" si="290"/>
        <v>43247.428941476377</v>
      </c>
      <c r="D192" s="144">
        <f t="shared" ref="D192:E192" ca="1" si="291">IF($A192&gt;D$160,"",IF($A192=0,D$304*(1-D$815),+D304-D276))</f>
        <v>38498.385414324206</v>
      </c>
      <c r="E192" s="144">
        <f t="shared" ca="1" si="291"/>
        <v>38200.132992751023</v>
      </c>
      <c r="F192" s="144">
        <f t="shared" ref="F192:G192" ca="1" si="292">IF($A192&gt;F$160,"",IF($A192=0,F$304*(1-F$815),+F304-F276))</f>
        <v>37208.954564878804</v>
      </c>
      <c r="G192" s="144">
        <f t="shared" ca="1" si="292"/>
        <v>36217.069748013535</v>
      </c>
      <c r="H192" s="144">
        <f t="shared" ref="H192:K192" ca="1" si="293">IF($A192&gt;H$160,"",IF($A192=0,H$304*(1-H$815),+H304-H276))</f>
        <v>36140.962693937465</v>
      </c>
      <c r="I192" s="144">
        <f t="shared" ca="1" si="293"/>
        <v>35981.086054083316</v>
      </c>
      <c r="J192" s="144">
        <f t="shared" ca="1" si="293"/>
        <v>37050.609746394628</v>
      </c>
      <c r="K192" s="144">
        <f t="shared" ca="1" si="293"/>
        <v>38873.046857741581</v>
      </c>
      <c r="L192" s="144">
        <f t="shared" ref="L192:M192" ca="1" si="294">IF($A192&gt;L$160,"",IF($A192=0,L$304*(1-L$815),+L304-L276))</f>
        <v>38786.813598656561</v>
      </c>
      <c r="M192" s="144">
        <f t="shared" ca="1" si="294"/>
        <v>25772.826265471562</v>
      </c>
    </row>
    <row r="193" spans="1:13" ht="15" customHeight="1">
      <c r="A193" s="10">
        <f t="shared" si="289"/>
        <v>1</v>
      </c>
      <c r="B193" s="41">
        <f t="shared" ca="1" si="290"/>
        <v>47192.352071327405</v>
      </c>
      <c r="C193" s="144">
        <f t="shared" ca="1" si="290"/>
        <v>43995.109716969397</v>
      </c>
      <c r="D193" s="144">
        <f t="shared" ref="D193:E193" ca="1" si="295">IF($A193&gt;D$160,"",IF($A193=0,D$304*(1-D$815),+D305-D277))</f>
        <v>39243.301762157425</v>
      </c>
      <c r="E193" s="144">
        <f t="shared" ca="1" si="295"/>
        <v>38953.184522771684</v>
      </c>
      <c r="F193" s="144">
        <f t="shared" ref="F193:G193" ca="1" si="296">IF($A193&gt;F$160,"",IF($A193=0,F$304*(1-F$815),+F305-F277))</f>
        <v>37971.498972784771</v>
      </c>
      <c r="G193" s="144">
        <f t="shared" ca="1" si="296"/>
        <v>37000.349191401023</v>
      </c>
      <c r="H193" s="144">
        <f t="shared" ref="H193:K193" ca="1" si="297">IF($A193&gt;H$160,"",IF($A193=0,H$304*(1-H$815),+H305-H277))</f>
        <v>36878.749783892956</v>
      </c>
      <c r="I193" s="144">
        <f t="shared" ca="1" si="297"/>
        <v>37023.608457123446</v>
      </c>
      <c r="J193" s="144">
        <f t="shared" ca="1" si="297"/>
        <v>38043.969664398093</v>
      </c>
      <c r="K193" s="144">
        <f t="shared" ca="1" si="297"/>
        <v>39714.413121767597</v>
      </c>
      <c r="L193" s="144">
        <f t="shared" ref="L193:M193" ca="1" si="298">IF($A193&gt;L$160,"",IF($A193=0,L$304*(1-L$815),+L305-L277))</f>
        <v>40456.526941502576</v>
      </c>
      <c r="M193" s="144">
        <f t="shared" ca="1" si="298"/>
        <v>27751.073534119663</v>
      </c>
    </row>
    <row r="194" spans="1:13" ht="15" customHeight="1">
      <c r="A194" s="10">
        <f t="shared" si="289"/>
        <v>2</v>
      </c>
      <c r="B194" s="41">
        <f t="shared" ca="1" si="290"/>
        <v>47795.581718375193</v>
      </c>
      <c r="C194" s="144">
        <f t="shared" ca="1" si="290"/>
        <v>44640.627525975891</v>
      </c>
      <c r="D194" s="144">
        <f t="shared" ref="D194:E194" ca="1" si="299">IF($A194&gt;D$160,"",IF($A194=0,D$304*(1-D$815),+D306-D278))</f>
        <v>39909.18759190214</v>
      </c>
      <c r="E194" s="144">
        <f t="shared" ca="1" si="299"/>
        <v>39649.933682342991</v>
      </c>
      <c r="F194" s="144">
        <f t="shared" ref="F194:G194" ca="1" si="300">IF($A194&gt;F$160,"",IF($A194=0,F$304*(1-F$815),+F306-F278))</f>
        <v>38678.378723798851</v>
      </c>
      <c r="G194" s="144">
        <f t="shared" ca="1" si="300"/>
        <v>37735.214184078868</v>
      </c>
      <c r="H194" s="144">
        <f t="shared" ref="H194:K194" ca="1" si="301">IF($A194&gt;H$160,"",IF($A194=0,H$304*(1-H$815),+H306-H278))</f>
        <v>37562.033602796997</v>
      </c>
      <c r="I194" s="144">
        <f t="shared" ca="1" si="301"/>
        <v>38012.110075348101</v>
      </c>
      <c r="J194" s="144">
        <f t="shared" ca="1" si="301"/>
        <v>38968.664433841732</v>
      </c>
      <c r="K194" s="144">
        <f t="shared" ca="1" si="301"/>
        <v>40457.333276163343</v>
      </c>
      <c r="L194" s="144">
        <f t="shared" ref="L194:M194" ca="1" si="302">IF($A194&gt;L$160,"",IF($A194=0,L$304*(1-L$815),+L306-L278))</f>
        <v>42132.321349448765</v>
      </c>
      <c r="M194" s="144">
        <f t="shared" ca="1" si="302"/>
        <v>29831.249495894728</v>
      </c>
    </row>
    <row r="195" spans="1:13" ht="15" customHeight="1">
      <c r="A195" s="10">
        <f t="shared" si="289"/>
        <v>3</v>
      </c>
      <c r="B195" s="41">
        <f t="shared" ca="1" si="290"/>
        <v>48371.561973872696</v>
      </c>
      <c r="C195" s="144">
        <f t="shared" ca="1" si="290"/>
        <v>45267.394584155743</v>
      </c>
      <c r="D195" s="144">
        <f t="shared" ref="D195:E195" ca="1" si="303">IF($A195&gt;D$160,"",IF($A195=0,D$304*(1-D$815),+D307-D279))</f>
        <v>40565.555005206945</v>
      </c>
      <c r="E195" s="144">
        <f t="shared" ca="1" si="303"/>
        <v>40340.09767944357</v>
      </c>
      <c r="F195" s="144">
        <f t="shared" ref="F195:G195" ca="1" si="304">IF($A195&gt;F$160,"",IF($A195=0,F$304*(1-F$815),+F307-F279))</f>
        <v>39381.054456537611</v>
      </c>
      <c r="G195" s="144">
        <f t="shared" ca="1" si="304"/>
        <v>38469.66781746471</v>
      </c>
      <c r="H195" s="144">
        <f t="shared" ref="H195:K195" ca="1" si="305">IF($A195&gt;H$160,"",IF($A195=0,H$304*(1-H$815),+H307-H279))</f>
        <v>38240.974127559151</v>
      </c>
      <c r="I195" s="144">
        <f t="shared" ca="1" si="305"/>
        <v>39006.902834252425</v>
      </c>
      <c r="J195" s="144">
        <f t="shared" ca="1" si="305"/>
        <v>39890.718756068745</v>
      </c>
      <c r="K195" s="144">
        <f t="shared" ca="1" si="305"/>
        <v>41175.259413194253</v>
      </c>
      <c r="L195" s="144">
        <f t="shared" ref="L195:M195" ca="1" si="306">IF($A195&gt;L$160,"",IF($A195=0,L$304*(1-L$815),+L307-L279))</f>
        <v>43863.567589359089</v>
      </c>
      <c r="M195" s="144">
        <f t="shared" ca="1" si="306"/>
        <v>32066.646740935408</v>
      </c>
    </row>
    <row r="196" spans="1:13" ht="15" customHeight="1">
      <c r="A196" s="10">
        <f t="shared" si="289"/>
        <v>4</v>
      </c>
      <c r="B196" s="41">
        <f t="shared" ca="1" si="290"/>
        <v>48917.147719060595</v>
      </c>
      <c r="C196" s="144">
        <f t="shared" ca="1" si="290"/>
        <v>45872.878002948448</v>
      </c>
      <c r="D196" s="144">
        <f t="shared" ref="D196:E196" ca="1" si="307">IF($A196&gt;D$160,"",IF($A196=0,D$304*(1-D$815),+D308-D280))</f>
        <v>41210.577111429113</v>
      </c>
      <c r="E196" s="144">
        <f t="shared" ca="1" si="307"/>
        <v>41022.034902420441</v>
      </c>
      <c r="F196" s="144">
        <f t="shared" ref="F196:G196" ca="1" si="308">IF($A196&gt;F$160,"",IF($A196=0,F$304*(1-F$815),+F308-F280))</f>
        <v>40078.058841937396</v>
      </c>
      <c r="G196" s="144">
        <f t="shared" ca="1" si="308"/>
        <v>39202.501398826898</v>
      </c>
      <c r="H196" s="144">
        <f t="shared" ref="H196:K196" ca="1" si="309">IF($A196&gt;H$160,"",IF($A196=0,H$304*(1-H$815),+H308-H280))</f>
        <v>38914.130640537791</v>
      </c>
      <c r="I196" s="144">
        <f t="shared" ca="1" si="309"/>
        <v>40006.144593858822</v>
      </c>
      <c r="J196" s="144">
        <f t="shared" ca="1" si="309"/>
        <v>40807.556849433844</v>
      </c>
      <c r="K196" s="144">
        <f t="shared" ca="1" si="309"/>
        <v>41863.834830737855</v>
      </c>
      <c r="L196" s="144">
        <f t="shared" ref="L196:M196" ca="1" si="310">IF($A196&gt;L$160,"",IF($A196=0,L$304*(1-L$815),+L308-L280))</f>
        <v>45650.887021200622</v>
      </c>
      <c r="M196" s="144">
        <f t="shared" ca="1" si="310"/>
        <v>34468.78754840888</v>
      </c>
    </row>
    <row r="197" spans="1:13" ht="15" customHeight="1">
      <c r="A197" s="10">
        <f t="shared" si="289"/>
        <v>5</v>
      </c>
      <c r="B197" s="41">
        <f t="shared" ca="1" si="290"/>
        <v>49428.98582470532</v>
      </c>
      <c r="C197" s="144">
        <f t="shared" ca="1" si="290"/>
        <v>46454.3722639099</v>
      </c>
      <c r="D197" s="144">
        <f t="shared" ref="D197:E197" ca="1" si="311">IF($A197&gt;D$160,"",IF($A197=0,D$304*(1-D$815),+D309-D281))</f>
        <v>41842.296098140716</v>
      </c>
      <c r="E197" s="144">
        <f t="shared" ca="1" si="311"/>
        <v>41693.982946948359</v>
      </c>
      <c r="F197" s="144">
        <f t="shared" ref="F197:G197" ca="1" si="312">IF($A197&gt;F$160,"",IF($A197=0,F$304*(1-F$815),+F309-F281))</f>
        <v>40767.813891038699</v>
      </c>
      <c r="G197" s="144">
        <f t="shared" ca="1" si="312"/>
        <v>39932.410198190111</v>
      </c>
      <c r="H197" s="144">
        <f t="shared" ref="H197:K197" ca="1" si="313">IF($A197&gt;H$160,"",IF($A197=0,H$304*(1-H$815),+H309-H281))</f>
        <v>39579.954115950641</v>
      </c>
      <c r="I197" s="144">
        <f t="shared" ca="1" si="313"/>
        <v>41007.793272340197</v>
      </c>
      <c r="J197" s="144">
        <f t="shared" ca="1" si="313"/>
        <v>41716.351955245278</v>
      </c>
      <c r="K197" s="144">
        <f t="shared" ca="1" si="313"/>
        <v>42518.329641502809</v>
      </c>
      <c r="L197" s="144">
        <f t="shared" ref="L197:M197" ca="1" si="314">IF($A197&gt;L$160,"",IF($A197=0,L$304*(1-L$815),+L309-L281))</f>
        <v>47494.775941541455</v>
      </c>
      <c r="M197" s="144">
        <f t="shared" ca="1" si="314"/>
        <v>37050.044345936112</v>
      </c>
    </row>
    <row r="198" spans="1:13" ht="15" customHeight="1">
      <c r="A198" s="10">
        <f t="shared" si="289"/>
        <v>6</v>
      </c>
      <c r="B198" s="41">
        <f t="shared" ca="1" si="290"/>
        <v>48850.893324859608</v>
      </c>
      <c r="C198" s="144">
        <f t="shared" ca="1" si="290"/>
        <v>45920.880705774485</v>
      </c>
      <c r="D198" s="144">
        <f t="shared" ref="D198:E198" ca="1" si="315">IF($A198&gt;D$160,"",IF($A198=0,D$304*(1-D$815),+D310-D282))</f>
        <v>41416.797181438436</v>
      </c>
      <c r="E198" s="144">
        <f t="shared" ca="1" si="315"/>
        <v>41005.682248349178</v>
      </c>
      <c r="F198" s="144">
        <f t="shared" ref="F198:G198" ca="1" si="316">IF($A198&gt;F$160,"",IF($A198=0,F$304*(1-F$815),+F310-F282))</f>
        <v>40120.688892132857</v>
      </c>
      <c r="G198" s="144">
        <f t="shared" ca="1" si="316"/>
        <v>39361.808495463294</v>
      </c>
      <c r="H198" s="144">
        <f t="shared" ref="H198:K198" ca="1" si="317">IF($A198&gt;H$160,"",IF($A198=0,H$304*(1-H$815),+H310-H282))</f>
        <v>38921.539098965186</v>
      </c>
      <c r="I198" s="144">
        <f t="shared" ca="1" si="317"/>
        <v>40692.458939346441</v>
      </c>
      <c r="J198" s="144">
        <f t="shared" ca="1" si="317"/>
        <v>41349.254369057089</v>
      </c>
      <c r="K198" s="144">
        <f t="shared" ca="1" si="317"/>
        <v>41819.662789695605</v>
      </c>
      <c r="L198" s="144">
        <f t="shared" ref="L198:M198" ca="1" si="318">IF($A198&gt;L$160,"",IF($A198=0,L$304*(1-L$815),+L310-L282))</f>
        <v>47738.869285036155</v>
      </c>
      <c r="M198" s="144">
        <f t="shared" ca="1" si="318"/>
        <v>41089.087388772248</v>
      </c>
    </row>
    <row r="199" spans="1:13" ht="15" customHeight="1">
      <c r="A199" s="10">
        <f t="shared" si="289"/>
        <v>7</v>
      </c>
      <c r="B199" s="41">
        <f t="shared" ca="1" si="290"/>
        <v>48057.966060496561</v>
      </c>
      <c r="C199" s="144">
        <f t="shared" ca="1" si="290"/>
        <v>45188.9626410028</v>
      </c>
      <c r="D199" s="144">
        <f t="shared" ref="D199:E199" ca="1" si="319">IF($A199&gt;D$160,"",IF($A199=0,D$304*(1-D$815),+D311-D283))</f>
        <v>40842.680058183585</v>
      </c>
      <c r="E199" s="144">
        <f t="shared" ca="1" si="319"/>
        <v>40167.597267055178</v>
      </c>
      <c r="F199" s="144">
        <f t="shared" ref="F199:G199" ca="1" si="320">IF($A199&gt;F$160,"",IF($A199=0,F$304*(1-F$815),+F311-F283))</f>
        <v>39333.714872786375</v>
      </c>
      <c r="G199" s="144">
        <f t="shared" ca="1" si="320"/>
        <v>38655.734201637817</v>
      </c>
      <c r="H199" s="144">
        <f t="shared" ref="H199:K199" ca="1" si="321">IF($A199&gt;H$160,"",IF($A199=0,H$304*(1-H$815),+H311-H283))</f>
        <v>38147.109802861378</v>
      </c>
      <c r="I199" s="144">
        <f t="shared" ca="1" si="321"/>
        <v>40179.422532414086</v>
      </c>
      <c r="J199" s="144">
        <f t="shared" ca="1" si="321"/>
        <v>40702.593731149369</v>
      </c>
      <c r="K199" s="144">
        <f t="shared" ca="1" si="321"/>
        <v>40830.208383104502</v>
      </c>
      <c r="L199" s="144">
        <f t="shared" ref="L199:M199" ca="1" si="322">IF($A199&gt;L$160,"",IF($A199=0,L$304*(1-L$815),+L311-L283))</f>
        <v>47576.037111912832</v>
      </c>
      <c r="M199" s="144">
        <f t="shared" ca="1" si="322"/>
        <v>45057.587252954778</v>
      </c>
    </row>
    <row r="200" spans="1:13" ht="15" customHeight="1">
      <c r="A200" s="10">
        <f t="shared" si="289"/>
        <v>8</v>
      </c>
      <c r="B200" s="41">
        <f t="shared" ca="1" si="290"/>
        <v>47061.106613929187</v>
      </c>
      <c r="C200" s="144">
        <f t="shared" ca="1" si="290"/>
        <v>44268.424685914302</v>
      </c>
      <c r="D200" s="144">
        <f t="shared" ref="D200:E200" ca="1" si="323">IF($A200&gt;D$160,"",IF($A200=0,D$304*(1-D$815),+D312-D284))</f>
        <v>40125.589490301179</v>
      </c>
      <c r="E200" s="144">
        <f t="shared" ca="1" si="323"/>
        <v>39186.972158461198</v>
      </c>
      <c r="F200" s="144">
        <f t="shared" ref="F200:G200" ca="1" si="324">IF($A200&gt;F$160,"",IF($A200=0,F$304*(1-F$815),+F312-F284))</f>
        <v>38413.113244952605</v>
      </c>
      <c r="G200" s="144">
        <f t="shared" ca="1" si="324"/>
        <v>37819.492986518395</v>
      </c>
      <c r="H200" s="144">
        <f t="shared" ref="H200:K200" ca="1" si="325">IF($A200&gt;H$160,"",IF($A200=0,H$304*(1-H$815),+H312-H284))</f>
        <v>37260.954730759331</v>
      </c>
      <c r="I200" s="144">
        <f t="shared" ca="1" si="325"/>
        <v>39474.492004751548</v>
      </c>
      <c r="J200" s="144">
        <f t="shared" ca="1" si="325"/>
        <v>39789.702238526879</v>
      </c>
      <c r="K200" s="144">
        <f t="shared" ca="1" si="325"/>
        <v>39570.695428213141</v>
      </c>
      <c r="L200" s="144">
        <f t="shared" ref="L200:M200" ca="1" si="326">IF($A200&gt;L$160,"",IF($A200=0,L$304*(1-L$815),+L312-L284))</f>
        <v>47008.819564332458</v>
      </c>
      <c r="M200" s="144">
        <f t="shared" ca="1" si="326"/>
        <v>48845.305330810916</v>
      </c>
    </row>
    <row r="201" spans="1:13" ht="15" customHeight="1">
      <c r="A201" s="10">
        <f t="shared" si="289"/>
        <v>9</v>
      </c>
      <c r="B201" s="41">
        <f t="shared" ca="1" si="290"/>
        <v>45874.076352143151</v>
      </c>
      <c r="C201" s="144">
        <f t="shared" ca="1" si="290"/>
        <v>43171.673609198537</v>
      </c>
      <c r="D201" s="144">
        <f t="shared" ref="D201:E201" ca="1" si="327">IF($A201&gt;D$160,"",IF($A201=0,D$304*(1-D$815),+D313-D285))</f>
        <v>39272.808760394459</v>
      </c>
      <c r="E201" s="144">
        <f t="shared" ca="1" si="327"/>
        <v>38072.677093045859</v>
      </c>
      <c r="F201" s="144">
        <f t="shared" ref="F201:G201" ca="1" si="328">IF($A201&gt;F$160,"",IF($A201=0,F$304*(1-F$815),+F313-F285))</f>
        <v>37366.551977591174</v>
      </c>
      <c r="G201" s="144">
        <f t="shared" ca="1" si="328"/>
        <v>36859.765178831425</v>
      </c>
      <c r="H201" s="144">
        <f t="shared" ref="H201:K201" ca="1" si="329">IF($A201&gt;H$160,"",IF($A201=0,H$304*(1-H$815),+H313-H285))</f>
        <v>36268.366507136896</v>
      </c>
      <c r="I201" s="144">
        <f t="shared" ca="1" si="329"/>
        <v>38586.383151432783</v>
      </c>
      <c r="J201" s="144">
        <f t="shared" ca="1" si="329"/>
        <v>38629.54027852264</v>
      </c>
      <c r="K201" s="144">
        <f t="shared" ca="1" si="329"/>
        <v>38067.75423145332</v>
      </c>
      <c r="L201" s="144">
        <f t="shared" ref="L201:M201" ca="1" si="330">IF($A201&gt;L$160,"",IF($A201=0,L$304*(1-L$815),+L313-L285))</f>
        <v>46050.384431458115</v>
      </c>
      <c r="M201" s="144">
        <f t="shared" ca="1" si="330"/>
        <v>52336.080800963638</v>
      </c>
    </row>
    <row r="202" spans="1:13" ht="15" customHeight="1">
      <c r="A202" s="10">
        <f t="shared" si="289"/>
        <v>10</v>
      </c>
      <c r="B202" s="41">
        <f t="shared" ca="1" si="290"/>
        <v>44513.198238383025</v>
      </c>
      <c r="C202" s="144">
        <f t="shared" ca="1" si="290"/>
        <v>41913.455744141545</v>
      </c>
      <c r="D202" s="144">
        <f t="shared" ref="D202:E202" ca="1" si="331">IF($A202&gt;D$160,"",IF($A202=0,D$304*(1-D$815),+D314-D286))</f>
        <v>38293.150455900948</v>
      </c>
      <c r="E202" s="144">
        <f t="shared" ca="1" si="331"/>
        <v>36835.089952655893</v>
      </c>
      <c r="F202" s="144">
        <f t="shared" ref="F202:G202" ca="1" si="332">IF($A202&gt;F$160,"",IF($A202=0,F$304*(1-F$815),+F314-F286))</f>
        <v>36203.053526003161</v>
      </c>
      <c r="G202" s="144">
        <f t="shared" ca="1" si="332"/>
        <v>35784.529383203109</v>
      </c>
      <c r="H202" s="144">
        <f t="shared" ref="H202:K202" ca="1" si="333">IF($A202&gt;H$160,"",IF($A202=0,H$304*(1-H$815),+H314-H286))</f>
        <v>35175.602738262409</v>
      </c>
      <c r="I202" s="144">
        <f t="shared" ca="1" si="333"/>
        <v>37526.566512557933</v>
      </c>
      <c r="J202" s="144">
        <f t="shared" ca="1" si="333"/>
        <v>37246.067817584953</v>
      </c>
      <c r="K202" s="144">
        <f t="shared" ca="1" si="333"/>
        <v>36353.015068726585</v>
      </c>
      <c r="L202" s="144">
        <f t="shared" ref="L202:M202" ca="1" si="334">IF($A202&gt;L$160,"",IF($A202=0,L$304*(1-L$815),+L314-L286))</f>
        <v>44724.054269657303</v>
      </c>
      <c r="M202" s="144">
        <f t="shared" ca="1" si="334"/>
        <v>55413.200540647202</v>
      </c>
    </row>
    <row r="203" spans="1:13" ht="15" customHeight="1">
      <c r="A203" s="10"/>
      <c r="B203" s="41"/>
      <c r="C203" s="144"/>
      <c r="D203" s="144"/>
      <c r="E203" s="144"/>
      <c r="F203" s="144"/>
      <c r="G203" s="144"/>
      <c r="H203" s="144"/>
      <c r="I203" s="144"/>
      <c r="J203" s="144"/>
      <c r="K203" s="144"/>
      <c r="L203" s="144"/>
      <c r="M203" s="144"/>
    </row>
    <row r="204" spans="1:13" ht="15" customHeight="1">
      <c r="C204" s="145"/>
      <c r="D204" s="145"/>
      <c r="E204" s="145"/>
      <c r="F204" s="145"/>
      <c r="G204" s="145"/>
      <c r="H204" s="145"/>
      <c r="I204" s="145"/>
      <c r="J204" s="145"/>
      <c r="K204" s="145"/>
      <c r="L204" s="145"/>
      <c r="M204" s="145"/>
    </row>
    <row r="205" spans="1:13" ht="15" customHeight="1">
      <c r="A205" s="106" t="s">
        <v>510</v>
      </c>
      <c r="B205" s="101"/>
      <c r="C205" s="148"/>
      <c r="D205" s="148"/>
      <c r="E205" s="148"/>
      <c r="F205" s="148"/>
      <c r="G205" s="148"/>
      <c r="H205" s="148"/>
      <c r="I205" s="148"/>
      <c r="J205" s="148"/>
      <c r="K205" s="148"/>
      <c r="L205" s="148"/>
      <c r="M205" s="148"/>
    </row>
    <row r="206" spans="1:13" ht="15" customHeight="1">
      <c r="A206" s="10">
        <f t="shared" ref="A206:A216" si="335">A192</f>
        <v>0</v>
      </c>
      <c r="B206" s="97" t="e">
        <f t="shared" ref="B206:B216" ca="1" si="336">IF($A206&gt;B$160,"",IF($A206=0,#N/A,IF($A206=1,1/(1+B220),OFFSET(B206,-1,0)/(1+B220))))</f>
        <v>#N/A</v>
      </c>
      <c r="C206" s="146" t="e">
        <f t="shared" ref="C206:D206" ca="1" si="337">IF($A206&gt;C$160,"",IF($A206=0,#N/A,IF($A206=1,1/(1+C220),OFFSET(C206,-1,0)/(1+C220))))</f>
        <v>#N/A</v>
      </c>
      <c r="D206" s="146" t="e">
        <f t="shared" ca="1" si="337"/>
        <v>#N/A</v>
      </c>
      <c r="E206" s="146" t="e">
        <f t="shared" ref="E206:F206" ca="1" si="338">IF($A206&gt;E$160,"",IF($A206=0,#N/A,IF($A206=1,1/(1+E220),OFFSET(E206,-1,0)/(1+E220))))</f>
        <v>#N/A</v>
      </c>
      <c r="F206" s="146" t="e">
        <f t="shared" ca="1" si="338"/>
        <v>#N/A</v>
      </c>
      <c r="G206" s="146" t="e">
        <f t="shared" ref="G206:H206" ca="1" si="339">IF($A206&gt;G$160,"",IF($A206=0,#N/A,IF($A206=1,1/(1+G220),OFFSET(G206,-1,0)/(1+G220))))</f>
        <v>#N/A</v>
      </c>
      <c r="H206" s="146" t="e">
        <f t="shared" ca="1" si="339"/>
        <v>#N/A</v>
      </c>
      <c r="I206" s="146" t="e">
        <f t="shared" ref="I206:L206" ca="1" si="340">IF($A206&gt;I$160,"",IF($A206=0,#N/A,IF($A206=1,1/(1+I220),OFFSET(I206,-1,0)/(1+I220))))</f>
        <v>#N/A</v>
      </c>
      <c r="J206" s="146" t="e">
        <f t="shared" ca="1" si="340"/>
        <v>#N/A</v>
      </c>
      <c r="K206" s="146" t="e">
        <f t="shared" ca="1" si="340"/>
        <v>#N/A</v>
      </c>
      <c r="L206" s="146" t="e">
        <f t="shared" ca="1" si="340"/>
        <v>#N/A</v>
      </c>
      <c r="M206" s="146" t="e">
        <f t="shared" ref="M206" ca="1" si="341">IF($A206&gt;M$160,"",IF($A206=0,#N/A,IF($A206=1,1/(1+M220),OFFSET(M206,-1,0)/(1+M220))))</f>
        <v>#N/A</v>
      </c>
    </row>
    <row r="207" spans="1:13" ht="15" customHeight="1">
      <c r="A207" s="10">
        <f t="shared" si="335"/>
        <v>1</v>
      </c>
      <c r="B207" s="99">
        <f t="shared" ca="1" si="336"/>
        <v>0.92113561283739909</v>
      </c>
      <c r="C207" s="148">
        <f t="shared" ref="C207:D207" ca="1" si="342">IF($A207&gt;C$160,"",IF($A207=0,#N/A,IF($A207=1,1/(1+C221),OFFSET(C207,-1,0)/(1+C221))))</f>
        <v>0.92047193779724923</v>
      </c>
      <c r="D207" s="148">
        <f t="shared" ca="1" si="342"/>
        <v>0.91541831018271225</v>
      </c>
      <c r="E207" s="148">
        <f t="shared" ref="E207:F207" ca="1" si="343">IF($A207&gt;E$160,"",IF($A207=0,#N/A,IF($A207=1,1/(1+E221),OFFSET(E207,-1,0)/(1+E221))))</f>
        <v>0.90301059149753238</v>
      </c>
      <c r="F207" s="148">
        <f t="shared" ca="1" si="343"/>
        <v>0.90902471631670412</v>
      </c>
      <c r="G207" s="148">
        <f t="shared" ref="G207:H207" ca="1" si="344">IF($A207&gt;G$160,"",IF($A207=0,#N/A,IF($A207=1,1/(1+G221),OFFSET(G207,-1,0)/(1+G221))))</f>
        <v>0.90884926023935653</v>
      </c>
      <c r="H207" s="148">
        <f t="shared" ca="1" si="344"/>
        <v>0.90781460480166465</v>
      </c>
      <c r="I207" s="148">
        <f t="shared" ref="I207:L207" ca="1" si="345">IF($A207&gt;I$160,"",IF($A207=0,#N/A,IF($A207=1,1/(1+I221),OFFSET(I207,-1,0)/(1+I221))))</f>
        <v>0.8944530144482481</v>
      </c>
      <c r="J207" s="148">
        <f t="shared" ca="1" si="345"/>
        <v>0.89551943411818391</v>
      </c>
      <c r="K207" s="148">
        <f t="shared" ca="1" si="345"/>
        <v>0.89549142199995935</v>
      </c>
      <c r="L207" s="148">
        <f t="shared" ca="1" si="345"/>
        <v>0.88903706806390026</v>
      </c>
      <c r="M207" s="148">
        <f t="shared" ref="M207" ca="1" si="346">IF($A207&gt;M$160,"",IF($A207=0,#N/A,IF($A207=1,1/(1+M221),OFFSET(M207,-1,0)/(1+M221))))</f>
        <v>0.88994323570726963</v>
      </c>
    </row>
    <row r="208" spans="1:13" ht="15" customHeight="1">
      <c r="A208" s="10">
        <f t="shared" si="335"/>
        <v>2</v>
      </c>
      <c r="B208" s="99">
        <f t="shared" ca="1" si="336"/>
        <v>0.84849081723733089</v>
      </c>
      <c r="C208" s="148">
        <f t="shared" ref="C208:D208" ca="1" si="347">IF($A208&gt;C$160,"",IF($A208=0,#N/A,IF($A208=1,1/(1+C222),OFFSET(C208,-1,0)/(1+C222))))</f>
        <v>0.84726858827222307</v>
      </c>
      <c r="D208" s="148">
        <f t="shared" ca="1" si="347"/>
        <v>0.83799068261777232</v>
      </c>
      <c r="E208" s="148">
        <f t="shared" ref="E208:F208" ca="1" si="348">IF($A208&gt;E$160,"",IF($A208=0,#N/A,IF($A208=1,1/(1+E222),OFFSET(E208,-1,0)/(1+E222))))</f>
        <v>0.81542812835672329</v>
      </c>
      <c r="F208" s="148">
        <f t="shared" ca="1" si="348"/>
        <v>0.82632593487466444</v>
      </c>
      <c r="G208" s="148">
        <f t="shared" ref="G208:H208" ca="1" si="349">IF($A208&gt;G$160,"",IF($A208=0,#N/A,IF($A208=1,1/(1+G222),OFFSET(G208,-1,0)/(1+G222))))</f>
        <v>0.82600697783762567</v>
      </c>
      <c r="H208" s="148">
        <f t="shared" ca="1" si="349"/>
        <v>0.82412735669120252</v>
      </c>
      <c r="I208" s="148">
        <f t="shared" ref="I208:L208" ca="1" si="350">IF($A208&gt;I$160,"",IF($A208=0,#N/A,IF($A208=1,1/(1+I222),OFFSET(I208,-1,0)/(1+I222))))</f>
        <v>0.80004619505555785</v>
      </c>
      <c r="J208" s="148">
        <f t="shared" ca="1" si="350"/>
        <v>0.80195505688335234</v>
      </c>
      <c r="K208" s="148">
        <f t="shared" ca="1" si="350"/>
        <v>0.8019048868755092</v>
      </c>
      <c r="L208" s="148">
        <f t="shared" ca="1" si="350"/>
        <v>0.79038690839165593</v>
      </c>
      <c r="M208" s="148">
        <f t="shared" ref="M208" ca="1" si="351">IF($A208&gt;M$160,"",IF($A208=0,#N/A,IF($A208=1,1/(1+M222),OFFSET(M208,-1,0)/(1+M222))))</f>
        <v>0.79199896278112492</v>
      </c>
    </row>
    <row r="209" spans="1:13" ht="15" customHeight="1">
      <c r="A209" s="10">
        <f t="shared" si="335"/>
        <v>3</v>
      </c>
      <c r="B209" s="99">
        <f t="shared" ca="1" si="336"/>
        <v>0.78157510892281445</v>
      </c>
      <c r="C209" s="148">
        <f t="shared" ref="C209:D209" ca="1" si="352">IF($A209&gt;C$160,"",IF($A209=0,#N/A,IF($A209=1,1/(1+C223),OFFSET(C209,-1,0)/(1+C223))))</f>
        <v>0.77988695928167295</v>
      </c>
      <c r="D209" s="148">
        <f t="shared" ca="1" si="352"/>
        <v>0.76711201463081868</v>
      </c>
      <c r="E209" s="148">
        <f t="shared" ref="E209:F209" ca="1" si="353">IF($A209&gt;E$160,"",IF($A209=0,#N/A,IF($A209=1,1/(1+E223),OFFSET(E209,-1,0)/(1+E223))))</f>
        <v>0.73634023651113045</v>
      </c>
      <c r="F209" s="148">
        <f t="shared" ca="1" si="353"/>
        <v>0.75115069853457717</v>
      </c>
      <c r="G209" s="148">
        <f t="shared" ref="G209:H209" ca="1" si="354">IF($A209&gt;G$160,"",IF($A209=0,#N/A,IF($A209=1,1/(1+G223),OFFSET(G209,-1,0)/(1+G223))))</f>
        <v>0.75071583076027271</v>
      </c>
      <c r="H209" s="148">
        <f t="shared" ca="1" si="354"/>
        <v>0.74815485062086451</v>
      </c>
      <c r="I209" s="148">
        <f t="shared" ref="I209:L209" ca="1" si="355">IF($A209&gt;I$160,"",IF($A209=0,#N/A,IF($A209=1,1/(1+I223),OFFSET(I209,-1,0)/(1+I223))))</f>
        <v>0.71560373086529472</v>
      </c>
      <c r="J209" s="148">
        <f t="shared" ca="1" si="355"/>
        <v>0.71816633872839564</v>
      </c>
      <c r="K209" s="148">
        <f t="shared" ca="1" si="355"/>
        <v>0.7180989474568662</v>
      </c>
      <c r="L209" s="148">
        <f t="shared" ca="1" si="355"/>
        <v>0.70268325967260825</v>
      </c>
      <c r="M209" s="148">
        <f t="shared" ref="M209" ca="1" si="356">IF($A209&gt;M$160,"",IF($A209=0,#N/A,IF($A209=1,1/(1+M223),OFFSET(M209,-1,0)/(1+M223))))</f>
        <v>0.7048341196142357</v>
      </c>
    </row>
    <row r="210" spans="1:13" ht="15" customHeight="1">
      <c r="A210" s="10">
        <f t="shared" si="335"/>
        <v>4</v>
      </c>
      <c r="B210" s="99">
        <f t="shared" ca="1" si="336"/>
        <v>0.71993666693607372</v>
      </c>
      <c r="C210" s="148">
        <f t="shared" ref="C210:D210" ca="1" si="357">IF($A210&gt;C$160,"",IF($A210=0,#N/A,IF($A210=1,1/(1+C224),OFFSET(C210,-1,0)/(1+C224))))</f>
        <v>0.71786406067280595</v>
      </c>
      <c r="D210" s="148">
        <f t="shared" ca="1" si="357"/>
        <v>0.70222838415420008</v>
      </c>
      <c r="E210" s="148">
        <f t="shared" ref="E210:F210" ca="1" si="358">IF($A210&gt;E$160,"",IF($A210=0,#N/A,IF($A210=1,1/(1+E224),OFFSET(E210,-1,0)/(1+E224))))</f>
        <v>0.66492303251534879</v>
      </c>
      <c r="F210" s="148">
        <f t="shared" ca="1" si="358"/>
        <v>0.68281455064648822</v>
      </c>
      <c r="G210" s="148">
        <f t="shared" ref="G210:H210" ca="1" si="359">IF($A210&gt;G$160,"",IF($A210=0,#N/A,IF($A210=1,1/(1+G224),OFFSET(G210,-1,0)/(1+G224))))</f>
        <v>0.68228752743644783</v>
      </c>
      <c r="H210" s="148">
        <f t="shared" ca="1" si="359"/>
        <v>0.67918590004682855</v>
      </c>
      <c r="I210" s="148">
        <f t="shared" ref="I210:L210" ca="1" si="360">IF($A210&gt;I$160,"",IF($A210=0,#N/A,IF($A210=1,1/(1+I224),OFFSET(I210,-1,0)/(1+I224))))</f>
        <v>0.64007391422287563</v>
      </c>
      <c r="J210" s="148">
        <f t="shared" ca="1" si="360"/>
        <v>0.6431319132607809</v>
      </c>
      <c r="K210" s="148">
        <f t="shared" ca="1" si="360"/>
        <v>0.64305144759482313</v>
      </c>
      <c r="L210" s="148">
        <f t="shared" ca="1" si="360"/>
        <v>0.62471146495691987</v>
      </c>
      <c r="M210" s="148">
        <f t="shared" ref="M210" ca="1" si="361">IF($A210&gt;M$160,"",IF($A210=0,#N/A,IF($A210=1,1/(1+M224),OFFSET(M210,-1,0)/(1+M224))))</f>
        <v>0.62726235704637767</v>
      </c>
    </row>
    <row r="211" spans="1:13" ht="15" customHeight="1">
      <c r="A211" s="10">
        <f t="shared" si="335"/>
        <v>5</v>
      </c>
      <c r="B211" s="99">
        <f t="shared" ca="1" si="336"/>
        <v>0.66315930290227476</v>
      </c>
      <c r="C211" s="148">
        <f t="shared" ref="C211:D211" ca="1" si="362">IF($A211&gt;C$160,"",IF($A211=0,#N/A,IF($A211=1,1/(1+C225),OFFSET(C211,-1,0)/(1+C225))))</f>
        <v>0.66077372300249981</v>
      </c>
      <c r="D211" s="148">
        <f t="shared" ca="1" si="362"/>
        <v>0.64283272078477438</v>
      </c>
      <c r="E211" s="148">
        <f t="shared" ref="E211:F211" ca="1" si="363">IF($A211&gt;E$160,"",IF($A211=0,#N/A,IF($A211=1,1/(1+E225),OFFSET(E211,-1,0)/(1+E225))))</f>
        <v>0.60043254089201803</v>
      </c>
      <c r="F211" s="148">
        <f t="shared" ca="1" si="363"/>
        <v>0.62069530319834176</v>
      </c>
      <c r="G211" s="148">
        <f t="shared" ref="G211:H211" ca="1" si="364">IF($A211&gt;G$160,"",IF($A211=0,#N/A,IF($A211=1,1/(1+G225),OFFSET(G211,-1,0)/(1+G225))))</f>
        <v>0.62009651458115533</v>
      </c>
      <c r="H211" s="148">
        <f t="shared" ca="1" si="364"/>
        <v>0.61657487943787448</v>
      </c>
      <c r="I211" s="148">
        <f t="shared" ref="I211:L211" ca="1" si="365">IF($A211&gt;I$160,"",IF($A211=0,#N/A,IF($A211=1,1/(1+I225),OFFSET(I211,-1,0)/(1+I225))))</f>
        <v>0.57251604204634043</v>
      </c>
      <c r="J211" s="148">
        <f t="shared" ca="1" si="365"/>
        <v>0.57593712702663946</v>
      </c>
      <c r="K211" s="148">
        <f t="shared" ca="1" si="365"/>
        <v>0.57584705522582047</v>
      </c>
      <c r="L211" s="148">
        <f t="shared" ca="1" si="365"/>
        <v>0.55539164919120398</v>
      </c>
      <c r="M211" s="148">
        <f t="shared" ref="M211" ca="1" si="366">IF($A211&gt;M$160,"",IF($A211=0,#N/A,IF($A211=1,1/(1+M225),OFFSET(M211,-1,0)/(1+M225))))</f>
        <v>0.55822789166722198</v>
      </c>
    </row>
    <row r="212" spans="1:13" ht="15" customHeight="1">
      <c r="A212" s="10">
        <f t="shared" si="335"/>
        <v>6</v>
      </c>
      <c r="B212" s="99">
        <f t="shared" ca="1" si="336"/>
        <v>0.61149236670346407</v>
      </c>
      <c r="C212" s="148">
        <f t="shared" ref="C212:D212" ca="1" si="367">IF($A212&gt;C$160,"",IF($A212=0,#N/A,IF($A212=1,1/(1+C226),OFFSET(C212,-1,0)/(1+C226))))</f>
        <v>0.60894103921258258</v>
      </c>
      <c r="D212" s="148">
        <f t="shared" ca="1" si="367"/>
        <v>0.58979947842848635</v>
      </c>
      <c r="E212" s="148">
        <f t="shared" ref="E212:F212" ca="1" si="368">IF($A212&gt;E$160,"",IF($A212=0,#N/A,IF($A212=1,1/(1+E226),OFFSET(E212,-1,0)/(1+E226))))</f>
        <v>0.54489401246638591</v>
      </c>
      <c r="F212" s="148">
        <f t="shared" ca="1" si="368"/>
        <v>0.5662947221216047</v>
      </c>
      <c r="G212" s="148">
        <f t="shared" ref="G212:H212" ca="1" si="369">IF($A212&gt;G$160,"",IF($A212=0,#N/A,IF($A212=1,1/(1+G226),OFFSET(G212,-1,0)/(1+G226))))</f>
        <v>0.5656607319839021</v>
      </c>
      <c r="H212" s="148">
        <f t="shared" ca="1" si="369"/>
        <v>0.56193399177427095</v>
      </c>
      <c r="I212" s="148">
        <f t="shared" ref="I212:L212" ca="1" si="370">IF($A212&gt;I$160,"",IF($A212=0,#N/A,IF($A212=1,1/(1+I226),OFFSET(I212,-1,0)/(1+I226))))</f>
        <v>0.5155937829258378</v>
      </c>
      <c r="J212" s="148">
        <f t="shared" ca="1" si="370"/>
        <v>0.51917271379018015</v>
      </c>
      <c r="K212" s="148">
        <f t="shared" ca="1" si="370"/>
        <v>0.51907844364374645</v>
      </c>
      <c r="L212" s="148">
        <f t="shared" ca="1" si="370"/>
        <v>0.49772967009979141</v>
      </c>
      <c r="M212" s="148">
        <f t="shared" ref="M212" ca="1" si="371">IF($A212&gt;M$160,"",IF($A212=0,#N/A,IF($A212=1,1/(1+M226),OFFSET(M212,-1,0)/(1+M226))))</f>
        <v>0.50068257184256082</v>
      </c>
    </row>
    <row r="213" spans="1:13" ht="15" customHeight="1">
      <c r="A213" s="10">
        <f t="shared" si="335"/>
        <v>7</v>
      </c>
      <c r="B213" s="99">
        <f t="shared" ca="1" si="336"/>
        <v>0.56443544727341044</v>
      </c>
      <c r="C213" s="148">
        <f t="shared" ref="C213:D213" ca="1" si="372">IF($A213&gt;C$160,"",IF($A213=0,#N/A,IF($A213=1,1/(1+C227),OFFSET(C213,-1,0)/(1+C227))))</f>
        <v>0.56183689512698753</v>
      </c>
      <c r="D213" s="148">
        <f t="shared" ca="1" si="372"/>
        <v>0.54237524039520291</v>
      </c>
      <c r="E213" s="148">
        <f t="shared" ref="E213:F213" ca="1" si="373">IF($A213&gt;E$160,"",IF($A213=0,#N/A,IF($A213=1,1/(1+E227),OFFSET(E213,-1,0)/(1+E227))))</f>
        <v>0.49696472930426011</v>
      </c>
      <c r="F213" s="148">
        <f t="shared" ca="1" si="373"/>
        <v>0.51856208819698013</v>
      </c>
      <c r="G213" s="148">
        <f t="shared" ref="G213:H213" ca="1" si="374">IF($A213&gt;G$160,"",IF($A213=0,#N/A,IF($A213=1,1/(1+G227),OFFSET(G213,-1,0)/(1+G227))))</f>
        <v>0.5179211037234337</v>
      </c>
      <c r="H213" s="148">
        <f t="shared" ca="1" si="374"/>
        <v>0.51415467751106136</v>
      </c>
      <c r="I213" s="148">
        <f t="shared" ref="I213:L213" ca="1" si="375">IF($A213&gt;I$160,"",IF($A213=0,#N/A,IF($A213=1,1/(1+I227),OFFSET(I213,-1,0)/(1+I227))))</f>
        <v>0.46753110549033156</v>
      </c>
      <c r="J213" s="148">
        <f t="shared" ca="1" si="375"/>
        <v>0.47111767023373602</v>
      </c>
      <c r="K213" s="148">
        <f t="shared" ca="1" si="375"/>
        <v>0.47102316761183055</v>
      </c>
      <c r="L213" s="148">
        <f t="shared" ca="1" si="375"/>
        <v>0.44966599790947082</v>
      </c>
      <c r="M213" s="148">
        <f t="shared" ref="M213" ca="1" si="376">IF($A213&gt;M$160,"",IF($A213=0,#N/A,IF($A213=1,1/(1+M227),OFFSET(M213,-1,0)/(1+M227))))</f>
        <v>0.45261474803512547</v>
      </c>
    </row>
    <row r="214" spans="1:13" ht="15" customHeight="1">
      <c r="A214" s="10">
        <f t="shared" si="335"/>
        <v>8</v>
      </c>
      <c r="B214" s="99">
        <f t="shared" ca="1" si="336"/>
        <v>0.52154051748522945</v>
      </c>
      <c r="C214" s="148">
        <f t="shared" ref="C214:D214" ca="1" si="377">IF($A214&gt;C$160,"",IF($A214=0,#N/A,IF($A214=1,1/(1+C228),OFFSET(C214,-1,0)/(1+C228))))</f>
        <v>0.51898929942124206</v>
      </c>
      <c r="D214" s="148">
        <f t="shared" ca="1" si="377"/>
        <v>0.49990404016403428</v>
      </c>
      <c r="E214" s="148">
        <f t="shared" ref="E214:F214" ca="1" si="378">IF($A214&gt;E$160,"",IF($A214=0,#N/A,IF($A214=1,1/(1+E228),OFFSET(E214,-1,0)/(1+E228))))</f>
        <v>0.45552862092977225</v>
      </c>
      <c r="F214" s="148">
        <f t="shared" ca="1" si="378"/>
        <v>0.4766055311851492</v>
      </c>
      <c r="G214" s="148">
        <f t="shared" ref="G214:H214" ca="1" si="379">IF($A214&gt;G$160,"",IF($A214=0,#N/A,IF($A214=1,1/(1+G228),OFFSET(G214,-1,0)/(1+G228))))</f>
        <v>0.47597924569864047</v>
      </c>
      <c r="H214" s="148">
        <f t="shared" ca="1" si="379"/>
        <v>0.47230010366284131</v>
      </c>
      <c r="I214" s="148">
        <f t="shared" ref="I214:L214" ca="1" si="380">IF($A214&gt;I$160,"",IF($A214=0,#N/A,IF($A214=1,1/(1+I228),OFFSET(I214,-1,0)/(1+I228))))</f>
        <v>0.42689080846749355</v>
      </c>
      <c r="J214" s="148">
        <f t="shared" ca="1" si="380"/>
        <v>0.43037488075609992</v>
      </c>
      <c r="K214" s="148">
        <f t="shared" ca="1" si="380"/>
        <v>0.43028305869214312</v>
      </c>
      <c r="L214" s="148">
        <f t="shared" ca="1" si="380"/>
        <v>0.40955985082932028</v>
      </c>
      <c r="M214" s="148">
        <f t="shared" ref="M214" ca="1" si="381">IF($A214&gt;M$160,"",IF($A214=0,#N/A,IF($A214=1,1/(1+M228),OFFSET(M214,-1,0)/(1+M228))))</f>
        <v>0.41241768722143962</v>
      </c>
    </row>
    <row r="215" spans="1:13" ht="15" customHeight="1">
      <c r="A215" s="10">
        <f t="shared" si="335"/>
        <v>9</v>
      </c>
      <c r="B215" s="99">
        <f t="shared" ca="1" si="336"/>
        <v>0.48240614144900179</v>
      </c>
      <c r="C215" s="148">
        <f t="shared" ref="C215:D215" ca="1" si="382">IF($A215&gt;C$160,"",IF($A215=0,#N/A,IF($A215=1,1/(1+C229),OFFSET(C215,-1,0)/(1+C229))))</f>
        <v>0.47997685502622817</v>
      </c>
      <c r="D215" s="148">
        <f t="shared" ca="1" si="382"/>
        <v>0.46181392637718705</v>
      </c>
      <c r="E215" s="148">
        <f t="shared" ref="E215:F215" ca="1" si="383">IF($A215&gt;E$160,"",IF($A215=0,#N/A,IF($A215=1,1/(1+E229),OFFSET(E215,-1,0)/(1+E229))))</f>
        <v>0.41965587266204185</v>
      </c>
      <c r="F215" s="148">
        <f t="shared" ca="1" si="383"/>
        <v>0.4396665016678068</v>
      </c>
      <c r="G215" s="148">
        <f t="shared" ref="G215:H215" ca="1" si="384">IF($A215&gt;G$160,"",IF($A215=0,#N/A,IF($A215=1,1/(1+G229),OFFSET(G215,-1,0)/(1+G229))))</f>
        <v>0.43907155202645964</v>
      </c>
      <c r="H215" s="148">
        <f t="shared" ca="1" si="384"/>
        <v>0.43557691861294795</v>
      </c>
      <c r="I215" s="148">
        <f t="shared" ref="I215:L215" ca="1" si="385">IF($A215&gt;I$160,"",IF($A215=0,#N/A,IF($A215=1,1/(1+I229),OFFSET(I215,-1,0)/(1+I229))))</f>
        <v>0.39250705608764669</v>
      </c>
      <c r="J215" s="148">
        <f t="shared" ca="1" si="385"/>
        <v>0.39580740880287535</v>
      </c>
      <c r="K215" s="148">
        <f t="shared" ca="1" si="385"/>
        <v>0.39572041931277735</v>
      </c>
      <c r="L215" s="148">
        <f t="shared" ca="1" si="385"/>
        <v>0.37610096897907064</v>
      </c>
      <c r="M215" s="148">
        <f t="shared" ref="M215" ca="1" si="386">IF($A215&gt;M$160,"",IF($A215=0,#N/A,IF($A215=1,1/(1+M229),OFFSET(M215,-1,0)/(1+M229))))</f>
        <v>0.37880501700192243</v>
      </c>
    </row>
    <row r="216" spans="1:13" ht="15" customHeight="1">
      <c r="A216" s="10">
        <f t="shared" si="335"/>
        <v>10</v>
      </c>
      <c r="B216" s="99">
        <f t="shared" ca="1" si="336"/>
        <v>0.44667235319352017</v>
      </c>
      <c r="C216" s="148">
        <f t="shared" ref="C216:D216" ca="1" si="387">IF($A216&gt;C$160,"",IF($A216=0,#N/A,IF($A216=1,1/(1+C230),OFFSET(C216,-1,0)/(1+C230))))</f>
        <v>0.44442301391317418</v>
      </c>
      <c r="D216" s="148">
        <f t="shared" ca="1" si="387"/>
        <v>0.42760548738628429</v>
      </c>
      <c r="E216" s="148">
        <f t="shared" ref="E216:F216" ca="1" si="388">IF($A216&gt;E$160,"",IF($A216=0,#N/A,IF($A216=1,1/(1+E230),OFFSET(E216,-1,0)/(1+E230))))</f>
        <v>0.38857025246485355</v>
      </c>
      <c r="F216" s="148">
        <f t="shared" ca="1" si="388"/>
        <v>0.40709861265537661</v>
      </c>
      <c r="G216" s="148">
        <f t="shared" ref="G216:H216" ca="1" si="389">IF($A216&gt;G$160,"",IF($A216=0,#N/A,IF($A216=1,1/(1+G230),OFFSET(G216,-1,0)/(1+G230))))</f>
        <v>0.40654773335783295</v>
      </c>
      <c r="H216" s="148">
        <f t="shared" ca="1" si="389"/>
        <v>0.40331196167865546</v>
      </c>
      <c r="I216" s="148">
        <f t="shared" ref="I216:L216" ca="1" si="390">IF($A216&gt;I$160,"",IF($A216=0,#N/A,IF($A216=1,1/(1+I230),OFFSET(I216,-1,0)/(1+I230))))</f>
        <v>0.36343245934041357</v>
      </c>
      <c r="J216" s="148">
        <f t="shared" ca="1" si="390"/>
        <v>0.36648834148414383</v>
      </c>
      <c r="K216" s="148">
        <f t="shared" ca="1" si="390"/>
        <v>0.366407795659979</v>
      </c>
      <c r="L216" s="148">
        <f t="shared" ca="1" si="390"/>
        <v>0.34824163794358393</v>
      </c>
      <c r="M216" s="148">
        <f t="shared" ref="M216" ca="1" si="391">IF($A216&gt;M$160,"",IF($A216=0,#N/A,IF($A216=1,1/(1+M230),OFFSET(M216,-1,0)/(1+M230))))</f>
        <v>0.35074538611289113</v>
      </c>
    </row>
    <row r="217" spans="1:13" ht="15" customHeight="1">
      <c r="A217" s="10"/>
      <c r="B217" s="99"/>
      <c r="C217" s="148"/>
      <c r="D217" s="148"/>
      <c r="E217" s="148"/>
      <c r="F217" s="148"/>
      <c r="G217" s="148"/>
      <c r="H217" s="148"/>
      <c r="I217" s="148"/>
      <c r="J217" s="148"/>
      <c r="K217" s="148"/>
      <c r="L217" s="148"/>
      <c r="M217" s="148"/>
    </row>
    <row r="218" spans="1:13" ht="15" customHeight="1">
      <c r="C218" s="145"/>
      <c r="D218" s="145"/>
      <c r="E218" s="145"/>
      <c r="F218" s="145"/>
      <c r="G218" s="145"/>
      <c r="H218" s="145"/>
      <c r="I218" s="145"/>
      <c r="J218" s="145"/>
      <c r="K218" s="145"/>
      <c r="L218" s="145"/>
      <c r="M218" s="145"/>
    </row>
    <row r="219" spans="1:13" ht="15" customHeight="1">
      <c r="A219" s="106" t="str">
        <f>+A146</f>
        <v>Cost of capital</v>
      </c>
      <c r="B219" s="96"/>
      <c r="C219" s="146"/>
      <c r="D219" s="146"/>
      <c r="E219" s="146"/>
      <c r="F219" s="146"/>
      <c r="G219" s="146"/>
      <c r="H219" s="146"/>
      <c r="I219" s="146"/>
      <c r="J219" s="146"/>
      <c r="K219" s="146"/>
      <c r="L219" s="146"/>
      <c r="M219" s="146"/>
    </row>
    <row r="220" spans="1:13" ht="15" customHeight="1">
      <c r="A220" s="10">
        <f t="shared" ref="A220:A230" si="392">A206</f>
        <v>0</v>
      </c>
      <c r="B220" s="97" t="e">
        <f t="shared" ref="B220:M230" ca="1" si="393">IF($A220&gt;B$160,"",IF($A220=0,#N/A,IF($A220=1,B$808,IF(AND($A220&gt;1,$A220&lt;=B$161),OFFSET(B220,-1,0),OFFSET(B220,-1,0)-(OFFSET(B$220,B$161,0)-B$146)/B$161))))</f>
        <v>#N/A</v>
      </c>
      <c r="C220" s="146" t="e">
        <f t="shared" ca="1" si="393"/>
        <v>#N/A</v>
      </c>
      <c r="D220" s="146" t="e">
        <f t="shared" ca="1" si="393"/>
        <v>#N/A</v>
      </c>
      <c r="E220" s="146" t="e">
        <f t="shared" ca="1" si="393"/>
        <v>#N/A</v>
      </c>
      <c r="F220" s="146" t="e">
        <f t="shared" ca="1" si="393"/>
        <v>#N/A</v>
      </c>
      <c r="G220" s="146" t="e">
        <f t="shared" ca="1" si="393"/>
        <v>#N/A</v>
      </c>
      <c r="H220" s="146" t="e">
        <f t="shared" ca="1" si="393"/>
        <v>#N/A</v>
      </c>
      <c r="I220" s="146" t="e">
        <f t="shared" ca="1" si="393"/>
        <v>#N/A</v>
      </c>
      <c r="J220" s="146" t="e">
        <f t="shared" ca="1" si="393"/>
        <v>#N/A</v>
      </c>
      <c r="K220" s="146" t="e">
        <f t="shared" ca="1" si="393"/>
        <v>#N/A</v>
      </c>
      <c r="L220" s="146" t="e">
        <f t="shared" ca="1" si="393"/>
        <v>#N/A</v>
      </c>
      <c r="M220" s="146" t="e">
        <f t="shared" ca="1" si="393"/>
        <v>#N/A</v>
      </c>
    </row>
    <row r="221" spans="1:13" ht="15" customHeight="1">
      <c r="A221" s="10">
        <f t="shared" si="392"/>
        <v>1</v>
      </c>
      <c r="B221" s="97">
        <f t="shared" ca="1" si="393"/>
        <v>8.5616478250876329E-2</v>
      </c>
      <c r="C221" s="146">
        <f t="shared" ca="1" si="393"/>
        <v>8.6399225155159756E-2</v>
      </c>
      <c r="D221" s="146">
        <f t="shared" ca="1" si="393"/>
        <v>9.239676427316143E-2</v>
      </c>
      <c r="E221" s="146">
        <f t="shared" ca="1" si="393"/>
        <v>0.10740672303923111</v>
      </c>
      <c r="F221" s="146">
        <f t="shared" ca="1" si="393"/>
        <v>0.10008009908896695</v>
      </c>
      <c r="G221" s="146">
        <f t="shared" ca="1" si="393"/>
        <v>0.10029247285368061</v>
      </c>
      <c r="H221" s="146">
        <f t="shared" ca="1" si="393"/>
        <v>0.10154649937414874</v>
      </c>
      <c r="I221" s="146">
        <f t="shared" ca="1" si="393"/>
        <v>0.11800171037140457</v>
      </c>
      <c r="J221" s="146">
        <f t="shared" ca="1" si="393"/>
        <v>0.11667035007978127</v>
      </c>
      <c r="K221" s="146">
        <f t="shared" ca="1" si="393"/>
        <v>0.1167052809580631</v>
      </c>
      <c r="L221" s="146">
        <f t="shared" ca="1" si="393"/>
        <v>0.12481249198950628</v>
      </c>
      <c r="M221" s="146">
        <f t="shared" ca="1" si="393"/>
        <v>0.12366717322736231</v>
      </c>
    </row>
    <row r="222" spans="1:13" ht="15" customHeight="1">
      <c r="A222" s="10">
        <f t="shared" si="392"/>
        <v>2</v>
      </c>
      <c r="B222" s="97">
        <f t="shared" ca="1" si="393"/>
        <v>8.5616478250876329E-2</v>
      </c>
      <c r="C222" s="146">
        <f t="shared" ca="1" si="393"/>
        <v>8.6399225155159756E-2</v>
      </c>
      <c r="D222" s="146">
        <f t="shared" ca="1" si="393"/>
        <v>9.239676427316143E-2</v>
      </c>
      <c r="E222" s="146">
        <f t="shared" ca="1" si="393"/>
        <v>0.10740672303923111</v>
      </c>
      <c r="F222" s="146">
        <f t="shared" ca="1" si="393"/>
        <v>0.10008009908896695</v>
      </c>
      <c r="G222" s="146">
        <f t="shared" ca="1" si="393"/>
        <v>0.10029247285368061</v>
      </c>
      <c r="H222" s="146">
        <f t="shared" ca="1" si="393"/>
        <v>0.10154649937414874</v>
      </c>
      <c r="I222" s="146">
        <f t="shared" ca="1" si="393"/>
        <v>0.11800171037140457</v>
      </c>
      <c r="J222" s="146">
        <f t="shared" ca="1" si="393"/>
        <v>0.11667035007978127</v>
      </c>
      <c r="K222" s="146">
        <f t="shared" ca="1" si="393"/>
        <v>0.1167052809580631</v>
      </c>
      <c r="L222" s="146">
        <f t="shared" ca="1" si="393"/>
        <v>0.12481249198950628</v>
      </c>
      <c r="M222" s="146">
        <f t="shared" ca="1" si="393"/>
        <v>0.12366717322736231</v>
      </c>
    </row>
    <row r="223" spans="1:13" ht="15" customHeight="1">
      <c r="A223" s="10">
        <f t="shared" si="392"/>
        <v>3</v>
      </c>
      <c r="B223" s="97">
        <f t="shared" ca="1" si="393"/>
        <v>8.5616478250876329E-2</v>
      </c>
      <c r="C223" s="146">
        <f t="shared" ca="1" si="393"/>
        <v>8.6399225155159756E-2</v>
      </c>
      <c r="D223" s="146">
        <f t="shared" ca="1" si="393"/>
        <v>9.239676427316143E-2</v>
      </c>
      <c r="E223" s="146">
        <f t="shared" ca="1" si="393"/>
        <v>0.10740672303923111</v>
      </c>
      <c r="F223" s="146">
        <f t="shared" ca="1" si="393"/>
        <v>0.10008009908896695</v>
      </c>
      <c r="G223" s="146">
        <f t="shared" ca="1" si="393"/>
        <v>0.10029247285368061</v>
      </c>
      <c r="H223" s="146">
        <f t="shared" ca="1" si="393"/>
        <v>0.10154649937414874</v>
      </c>
      <c r="I223" s="146">
        <f t="shared" ca="1" si="393"/>
        <v>0.11800171037140457</v>
      </c>
      <c r="J223" s="146">
        <f t="shared" ca="1" si="393"/>
        <v>0.11667035007978127</v>
      </c>
      <c r="K223" s="146">
        <f t="shared" ca="1" si="393"/>
        <v>0.1167052809580631</v>
      </c>
      <c r="L223" s="146">
        <f t="shared" ca="1" si="393"/>
        <v>0.12481249198950628</v>
      </c>
      <c r="M223" s="146">
        <f t="shared" ca="1" si="393"/>
        <v>0.12366717322736231</v>
      </c>
    </row>
    <row r="224" spans="1:13" ht="15" customHeight="1">
      <c r="A224" s="10">
        <f t="shared" si="392"/>
        <v>4</v>
      </c>
      <c r="B224" s="97">
        <f t="shared" ca="1" si="393"/>
        <v>8.5616478250876329E-2</v>
      </c>
      <c r="C224" s="146">
        <f t="shared" ca="1" si="393"/>
        <v>8.6399225155159756E-2</v>
      </c>
      <c r="D224" s="146">
        <f t="shared" ca="1" si="393"/>
        <v>9.239676427316143E-2</v>
      </c>
      <c r="E224" s="146">
        <f t="shared" ca="1" si="393"/>
        <v>0.10740672303923111</v>
      </c>
      <c r="F224" s="146">
        <f t="shared" ca="1" si="393"/>
        <v>0.10008009908896695</v>
      </c>
      <c r="G224" s="146">
        <f t="shared" ca="1" si="393"/>
        <v>0.10029247285368061</v>
      </c>
      <c r="H224" s="146">
        <f t="shared" ca="1" si="393"/>
        <v>0.10154649937414874</v>
      </c>
      <c r="I224" s="146">
        <f t="shared" ca="1" si="393"/>
        <v>0.11800171037140457</v>
      </c>
      <c r="J224" s="146">
        <f t="shared" ca="1" si="393"/>
        <v>0.11667035007978127</v>
      </c>
      <c r="K224" s="146">
        <f t="shared" ca="1" si="393"/>
        <v>0.1167052809580631</v>
      </c>
      <c r="L224" s="146">
        <f t="shared" ca="1" si="393"/>
        <v>0.12481249198950628</v>
      </c>
      <c r="M224" s="146">
        <f t="shared" ca="1" si="393"/>
        <v>0.12366717322736231</v>
      </c>
    </row>
    <row r="225" spans="1:13" ht="15" customHeight="1">
      <c r="A225" s="10">
        <f t="shared" si="392"/>
        <v>5</v>
      </c>
      <c r="B225" s="97">
        <f t="shared" ca="1" si="393"/>
        <v>8.5616478250876329E-2</v>
      </c>
      <c r="C225" s="146">
        <f t="shared" ca="1" si="393"/>
        <v>8.6399225155159756E-2</v>
      </c>
      <c r="D225" s="146">
        <f t="shared" ca="1" si="393"/>
        <v>9.239676427316143E-2</v>
      </c>
      <c r="E225" s="146">
        <f t="shared" ca="1" si="393"/>
        <v>0.10740672303923111</v>
      </c>
      <c r="F225" s="146">
        <f t="shared" ca="1" si="393"/>
        <v>0.10008009908896695</v>
      </c>
      <c r="G225" s="146">
        <f t="shared" ca="1" si="393"/>
        <v>0.10029247285368061</v>
      </c>
      <c r="H225" s="146">
        <f t="shared" ca="1" si="393"/>
        <v>0.10154649937414874</v>
      </c>
      <c r="I225" s="146">
        <f t="shared" ca="1" si="393"/>
        <v>0.11800171037140457</v>
      </c>
      <c r="J225" s="146">
        <f t="shared" ca="1" si="393"/>
        <v>0.11667035007978127</v>
      </c>
      <c r="K225" s="146">
        <f t="shared" ca="1" si="393"/>
        <v>0.1167052809580631</v>
      </c>
      <c r="L225" s="146">
        <f t="shared" ca="1" si="393"/>
        <v>0.12481249198950628</v>
      </c>
      <c r="M225" s="146">
        <f t="shared" ca="1" si="393"/>
        <v>0.12366717322736231</v>
      </c>
    </row>
    <row r="226" spans="1:13" ht="15" customHeight="1">
      <c r="A226" s="10">
        <f t="shared" si="392"/>
        <v>6</v>
      </c>
      <c r="B226" s="97">
        <f t="shared" ca="1" si="393"/>
        <v>8.4493182600701058E-2</v>
      </c>
      <c r="C226" s="146">
        <f t="shared" ca="1" si="393"/>
        <v>8.51193801241278E-2</v>
      </c>
      <c r="D226" s="146">
        <f t="shared" ca="1" si="393"/>
        <v>8.9917411418529145E-2</v>
      </c>
      <c r="E226" s="146">
        <f t="shared" ca="1" si="393"/>
        <v>0.1019253784313849</v>
      </c>
      <c r="F226" s="146">
        <f t="shared" ca="1" si="393"/>
        <v>9.6064079271173566E-2</v>
      </c>
      <c r="G226" s="146">
        <f t="shared" ca="1" si="393"/>
        <v>9.6233978282944485E-2</v>
      </c>
      <c r="H226" s="146">
        <f t="shared" ca="1" si="393"/>
        <v>9.7237199499318985E-2</v>
      </c>
      <c r="I226" s="146">
        <f t="shared" ca="1" si="393"/>
        <v>0.11040136829712366</v>
      </c>
      <c r="J226" s="146">
        <f t="shared" ca="1" si="393"/>
        <v>0.10933628006382502</v>
      </c>
      <c r="K226" s="146">
        <f t="shared" ca="1" si="393"/>
        <v>0.10936422476645048</v>
      </c>
      <c r="L226" s="146">
        <f t="shared" ca="1" si="393"/>
        <v>0.11584999359160503</v>
      </c>
      <c r="M226" s="146">
        <f t="shared" ca="1" si="393"/>
        <v>0.11493373858188985</v>
      </c>
    </row>
    <row r="227" spans="1:13" ht="15" customHeight="1">
      <c r="A227" s="10">
        <f t="shared" si="392"/>
        <v>7</v>
      </c>
      <c r="B227" s="97">
        <f t="shared" ca="1" si="393"/>
        <v>8.3369886950525787E-2</v>
      </c>
      <c r="C227" s="146">
        <f t="shared" ca="1" si="393"/>
        <v>8.3839535093095843E-2</v>
      </c>
      <c r="D227" s="146">
        <f t="shared" ca="1" si="393"/>
        <v>8.7438058563896859E-2</v>
      </c>
      <c r="E227" s="146">
        <f t="shared" ca="1" si="393"/>
        <v>9.644403382353868E-2</v>
      </c>
      <c r="F227" s="146">
        <f t="shared" ca="1" si="393"/>
        <v>9.2048059453380182E-2</v>
      </c>
      <c r="G227" s="146">
        <f t="shared" ca="1" si="393"/>
        <v>9.2175483712208364E-2</v>
      </c>
      <c r="H227" s="146">
        <f t="shared" ca="1" si="393"/>
        <v>9.2927899624489232E-2</v>
      </c>
      <c r="I227" s="146">
        <f t="shared" ca="1" si="393"/>
        <v>0.10280102622284275</v>
      </c>
      <c r="J227" s="146">
        <f t="shared" ca="1" si="393"/>
        <v>0.10200221004786877</v>
      </c>
      <c r="K227" s="146">
        <f t="shared" ca="1" si="393"/>
        <v>0.10202316857483787</v>
      </c>
      <c r="L227" s="146">
        <f t="shared" ca="1" si="393"/>
        <v>0.10688749519370377</v>
      </c>
      <c r="M227" s="146">
        <f t="shared" ca="1" si="393"/>
        <v>0.10620030393641738</v>
      </c>
    </row>
    <row r="228" spans="1:13" ht="15" customHeight="1">
      <c r="A228" s="10">
        <f t="shared" si="392"/>
        <v>8</v>
      </c>
      <c r="B228" s="97">
        <f t="shared" ca="1" si="393"/>
        <v>8.2246591300350516E-2</v>
      </c>
      <c r="C228" s="146">
        <f t="shared" ca="1" si="393"/>
        <v>8.2559690062063887E-2</v>
      </c>
      <c r="D228" s="146">
        <f t="shared" ca="1" si="393"/>
        <v>8.4958705709264573E-2</v>
      </c>
      <c r="E228" s="146">
        <f t="shared" ca="1" si="393"/>
        <v>9.0962689215692463E-2</v>
      </c>
      <c r="F228" s="146">
        <f t="shared" ca="1" si="393"/>
        <v>8.8032039635586798E-2</v>
      </c>
      <c r="G228" s="146">
        <f t="shared" ca="1" si="393"/>
        <v>8.8116989141472243E-2</v>
      </c>
      <c r="H228" s="146">
        <f t="shared" ca="1" si="393"/>
        <v>8.861859974965948E-2</v>
      </c>
      <c r="I228" s="146">
        <f t="shared" ca="1" si="393"/>
        <v>9.5200684148561837E-2</v>
      </c>
      <c r="J228" s="146">
        <f t="shared" ca="1" si="393"/>
        <v>9.4668140031912526E-2</v>
      </c>
      <c r="K228" s="146">
        <f t="shared" ca="1" si="393"/>
        <v>9.4682112383225256E-2</v>
      </c>
      <c r="L228" s="146">
        <f t="shared" ca="1" si="393"/>
        <v>9.7924996795802521E-2</v>
      </c>
      <c r="M228" s="146">
        <f t="shared" ca="1" si="393"/>
        <v>9.7466869290944919E-2</v>
      </c>
    </row>
    <row r="229" spans="1:13" ht="15" customHeight="1">
      <c r="A229" s="10">
        <f t="shared" si="392"/>
        <v>9</v>
      </c>
      <c r="B229" s="97">
        <f t="shared" ca="1" si="393"/>
        <v>8.1123295650175245E-2</v>
      </c>
      <c r="C229" s="146">
        <f t="shared" ca="1" si="393"/>
        <v>8.127984503103193E-2</v>
      </c>
      <c r="D229" s="146">
        <f t="shared" ca="1" si="393"/>
        <v>8.2479352854632287E-2</v>
      </c>
      <c r="E229" s="146">
        <f t="shared" ca="1" si="393"/>
        <v>8.5481344607846246E-2</v>
      </c>
      <c r="F229" s="146">
        <f t="shared" ca="1" si="393"/>
        <v>8.4016019817793414E-2</v>
      </c>
      <c r="G229" s="146">
        <f t="shared" ca="1" si="393"/>
        <v>8.4058494570736123E-2</v>
      </c>
      <c r="H229" s="146">
        <f t="shared" ca="1" si="393"/>
        <v>8.4309299874829727E-2</v>
      </c>
      <c r="I229" s="146">
        <f t="shared" ca="1" si="393"/>
        <v>8.7600342074280926E-2</v>
      </c>
      <c r="J229" s="146">
        <f t="shared" ca="1" si="393"/>
        <v>8.7334070015956278E-2</v>
      </c>
      <c r="K229" s="146">
        <f t="shared" ca="1" si="393"/>
        <v>8.7341056191612643E-2</v>
      </c>
      <c r="L229" s="146">
        <f t="shared" ca="1" si="393"/>
        <v>8.8962498397901268E-2</v>
      </c>
      <c r="M229" s="146">
        <f t="shared" ca="1" si="393"/>
        <v>8.8733434645472453E-2</v>
      </c>
    </row>
    <row r="230" spans="1:13" ht="15" customHeight="1">
      <c r="A230" s="10">
        <f t="shared" si="392"/>
        <v>10</v>
      </c>
      <c r="B230" s="97">
        <f t="shared" ca="1" si="393"/>
        <v>7.9999999999999974E-2</v>
      </c>
      <c r="C230" s="146">
        <f t="shared" ca="1" si="393"/>
        <v>7.9999999999999974E-2</v>
      </c>
      <c r="D230" s="146">
        <f t="shared" ca="1" si="393"/>
        <v>0.08</v>
      </c>
      <c r="E230" s="146">
        <f t="shared" ca="1" si="393"/>
        <v>8.0000000000000029E-2</v>
      </c>
      <c r="F230" s="146">
        <f t="shared" ca="1" si="393"/>
        <v>8.0000000000000029E-2</v>
      </c>
      <c r="G230" s="146">
        <f t="shared" ca="1" si="393"/>
        <v>0.08</v>
      </c>
      <c r="H230" s="146">
        <f t="shared" ca="1" si="393"/>
        <v>7.9999999999999974E-2</v>
      </c>
      <c r="I230" s="146">
        <f t="shared" ca="1" si="393"/>
        <v>8.0000000000000016E-2</v>
      </c>
      <c r="J230" s="146">
        <f t="shared" ca="1" si="393"/>
        <v>8.0000000000000029E-2</v>
      </c>
      <c r="K230" s="146">
        <f t="shared" ca="1" si="393"/>
        <v>8.0000000000000029E-2</v>
      </c>
      <c r="L230" s="146">
        <f t="shared" ca="1" si="393"/>
        <v>8.0000000000000016E-2</v>
      </c>
      <c r="M230" s="146">
        <f t="shared" ca="1" si="393"/>
        <v>7.9999999999999988E-2</v>
      </c>
    </row>
    <row r="231" spans="1:13" ht="15" customHeight="1">
      <c r="C231" s="145"/>
      <c r="D231" s="145"/>
      <c r="E231" s="145"/>
      <c r="F231" s="145"/>
      <c r="G231" s="145"/>
      <c r="H231" s="145"/>
      <c r="I231" s="145"/>
      <c r="J231" s="145"/>
      <c r="K231" s="145"/>
      <c r="L231" s="145"/>
      <c r="M231" s="145"/>
    </row>
    <row r="232" spans="1:13" ht="15" customHeight="1">
      <c r="C232" s="145"/>
      <c r="D232" s="145"/>
      <c r="E232" s="145"/>
      <c r="F232" s="145"/>
      <c r="G232" s="145"/>
      <c r="H232" s="145"/>
      <c r="I232" s="145"/>
      <c r="J232" s="145"/>
      <c r="K232" s="145"/>
      <c r="L232" s="145"/>
      <c r="M232" s="145"/>
    </row>
    <row r="233" spans="1:13" ht="15" customHeight="1">
      <c r="A233" s="106" t="str">
        <f>+A147</f>
        <v>ROIC</v>
      </c>
      <c r="B233" s="96"/>
      <c r="C233" s="146"/>
      <c r="D233" s="146"/>
      <c r="E233" s="146"/>
      <c r="F233" s="146"/>
      <c r="G233" s="146"/>
      <c r="H233" s="146"/>
      <c r="I233" s="146"/>
      <c r="J233" s="146"/>
      <c r="K233" s="146"/>
      <c r="L233" s="146"/>
      <c r="M233" s="146"/>
    </row>
    <row r="234" spans="1:13" ht="15" customHeight="1">
      <c r="A234" s="10">
        <f t="shared" ref="A234:A244" si="394">A220</f>
        <v>0</v>
      </c>
      <c r="B234" s="97">
        <f t="shared" ref="B234:B244" ca="1" si="395">IF($A234&gt;B$160,"",IF(B248=0,0,B304/B248))</f>
        <v>14.183379158356276</v>
      </c>
      <c r="C234" s="146">
        <f t="shared" ref="C234:D234" ca="1" si="396">IF($A234&gt;C$160,"",IF(C248=0,0,C304/C248))</f>
        <v>6.5898613786984752</v>
      </c>
      <c r="D234" s="146">
        <f t="shared" ca="1" si="396"/>
        <v>3.2411595289582573</v>
      </c>
      <c r="E234" s="146">
        <f t="shared" ref="E234:F234" ca="1" si="397">IF($A234&gt;E$160,"",IF(E248=0,0,E304/E248))</f>
        <v>-6.8197707995670003</v>
      </c>
      <c r="F234" s="146">
        <f t="shared" ca="1" si="397"/>
        <v>9.5311578698325796</v>
      </c>
      <c r="G234" s="146">
        <f t="shared" ref="G234:H234" ca="1" si="398">IF($A234&gt;G$160,"",IF(G248=0,0,G304/G248))</f>
        <v>7.5810846890066284</v>
      </c>
      <c r="H234" s="146">
        <f t="shared" ca="1" si="398"/>
        <v>3.6069609112104009</v>
      </c>
      <c r="I234" s="146">
        <f t="shared" ref="I234:L234" ca="1" si="399">IF($A234&gt;I$160,"",IF(I248=0,0,I304/I248))</f>
        <v>4.7592068971624961</v>
      </c>
      <c r="J234" s="146">
        <f t="shared" ca="1" si="399"/>
        <v>15.779346775678849</v>
      </c>
      <c r="K234" s="146">
        <f t="shared" ca="1" si="399"/>
        <v>32.155198698306251</v>
      </c>
      <c r="L234" s="146">
        <f t="shared" ca="1" si="399"/>
        <v>5.8508004073715707</v>
      </c>
      <c r="M234" s="146">
        <f t="shared" ref="M234" ca="1" si="400">IF($A234&gt;M$160,"",IF(M248=0,0,M304/M248))</f>
        <v>11.444219567692997</v>
      </c>
    </row>
    <row r="235" spans="1:13" ht="15" customHeight="1">
      <c r="A235" s="10">
        <f t="shared" si="394"/>
        <v>1</v>
      </c>
      <c r="B235" s="97">
        <f t="shared" ca="1" si="395"/>
        <v>6.582495730750404</v>
      </c>
      <c r="C235" s="146">
        <f t="shared" ref="C235:D235" ca="1" si="401">IF($A235&gt;C$160,"",IF(C249=0,0,C305/C249))</f>
        <v>4.3022821993719997</v>
      </c>
      <c r="D235" s="146">
        <f t="shared" ca="1" si="401"/>
        <v>2.5780125137121814</v>
      </c>
      <c r="E235" s="146">
        <f t="shared" ref="E235:F235" ca="1" si="402">IF($A235&gt;E$160,"",IF(E249=0,0,E305/E249))</f>
        <v>-12.586260049088077</v>
      </c>
      <c r="F235" s="146">
        <f t="shared" ca="1" si="402"/>
        <v>5.7744822323964975</v>
      </c>
      <c r="G235" s="146">
        <f t="shared" ref="G235:H235" ca="1" si="403">IF($A235&gt;G$160,"",IF(G249=0,0,G305/G249))</f>
        <v>4.9896381848789595</v>
      </c>
      <c r="H235" s="146">
        <f t="shared" ca="1" si="403"/>
        <v>2.9236660476324734</v>
      </c>
      <c r="I235" s="146">
        <f t="shared" ref="I235:L235" ca="1" si="404">IF($A235&gt;I$160,"",IF(I249=0,0,I305/I249))</f>
        <v>3.5286066509775953</v>
      </c>
      <c r="J235" s="146">
        <f t="shared" ca="1" si="404"/>
        <v>7.2031308589554843</v>
      </c>
      <c r="K235" s="146">
        <f t="shared" ca="1" si="404"/>
        <v>10.085098824801314</v>
      </c>
      <c r="L235" s="146">
        <f t="shared" ca="1" si="404"/>
        <v>4.2269494285210074</v>
      </c>
      <c r="M235" s="146">
        <f t="shared" ref="M235" ca="1" si="405">IF($A235&gt;M$160,"",IF(M249=0,0,M305/M249))</f>
        <v>2.2936552977301683</v>
      </c>
    </row>
    <row r="236" spans="1:13" ht="15" customHeight="1">
      <c r="A236" s="10">
        <f t="shared" si="394"/>
        <v>2</v>
      </c>
      <c r="B236" s="97">
        <f t="shared" ca="1" si="395"/>
        <v>4.2699385236375464</v>
      </c>
      <c r="C236" s="146">
        <f t="shared" ref="C236:D236" ca="1" si="406">IF($A236&gt;C$160,"",IF(C250=0,0,C306/C250))</f>
        <v>3.187094625640734</v>
      </c>
      <c r="D236" s="146">
        <f t="shared" ca="1" si="406"/>
        <v>2.1382517552349705</v>
      </c>
      <c r="E236" s="146">
        <f t="shared" ref="E236:F236" ca="1" si="407">IF($A236&gt;E$160,"",IF(E250=0,0,E306/E250))</f>
        <v>-81.337630562630835</v>
      </c>
      <c r="F236" s="146">
        <f t="shared" ca="1" si="407"/>
        <v>4.1408752973547776</v>
      </c>
      <c r="G236" s="146">
        <f t="shared" ref="G236:H236" ca="1" si="408">IF($A236&gt;G$160,"",IF(G250=0,0,G306/G250))</f>
        <v>3.7196522988938128</v>
      </c>
      <c r="H236" s="146">
        <f t="shared" ca="1" si="408"/>
        <v>2.456792586860109</v>
      </c>
      <c r="I236" s="146">
        <f t="shared" ref="I236:L236" ca="1" si="409">IF($A236&gt;I$160,"",IF(I250=0,0,I306/I250))</f>
        <v>2.8059890896570061</v>
      </c>
      <c r="J236" s="146">
        <f t="shared" ca="1" si="409"/>
        <v>4.6693294206412874</v>
      </c>
      <c r="K236" s="146">
        <f t="shared" ca="1" si="409"/>
        <v>5.9591949637334398</v>
      </c>
      <c r="L236" s="146">
        <f t="shared" ca="1" si="409"/>
        <v>3.3245902113670689</v>
      </c>
      <c r="M236" s="146">
        <f t="shared" ref="M236" ca="1" si="410">IF($A236&gt;M$160,"",IF(M250=0,0,M306/M250))</f>
        <v>1.314379351862246</v>
      </c>
    </row>
    <row r="237" spans="1:13" ht="15" customHeight="1">
      <c r="A237" s="10">
        <f t="shared" si="394"/>
        <v>3</v>
      </c>
      <c r="B237" s="97">
        <f t="shared" ca="1" si="395"/>
        <v>3.1493446132076284</v>
      </c>
      <c r="C237" s="146">
        <f t="shared" ref="C237:D237" ca="1" si="411">IF($A237&gt;C$160,"",IF(C251=0,0,C307/C251))</f>
        <v>2.5258587278748439</v>
      </c>
      <c r="D237" s="146">
        <f t="shared" ca="1" si="411"/>
        <v>1.8248222778178202</v>
      </c>
      <c r="E237" s="146">
        <f t="shared" ref="E237:F237" ca="1" si="412">IF($A237&gt;E$160,"",IF(E251=0,0,E307/E251))</f>
        <v>18.199720449571803</v>
      </c>
      <c r="F237" s="146">
        <f t="shared" ca="1" si="412"/>
        <v>3.2259929190673233</v>
      </c>
      <c r="G237" s="146">
        <f t="shared" ref="G237:H237" ca="1" si="413">IF($A237&gt;G$160,"",IF(G251=0,0,G307/G251))</f>
        <v>2.9648500193575602</v>
      </c>
      <c r="H237" s="146">
        <f t="shared" ca="1" si="413"/>
        <v>2.1171157949571344</v>
      </c>
      <c r="I237" s="146">
        <f t="shared" ref="I237:L237" ca="1" si="414">IF($A237&gt;I$160,"",IF(I251=0,0,I307/I251))</f>
        <v>2.3298565486493983</v>
      </c>
      <c r="J237" s="146">
        <f t="shared" ca="1" si="414"/>
        <v>3.4536794040062686</v>
      </c>
      <c r="K237" s="146">
        <f t="shared" ca="1" si="414"/>
        <v>4.2146425360884185</v>
      </c>
      <c r="L237" s="146">
        <f t="shared" ca="1" si="414"/>
        <v>2.7496157924659204</v>
      </c>
      <c r="M237" s="146">
        <f t="shared" ref="M237" ca="1" si="415">IF($A237&gt;M$160,"",IF(M251=0,0,M307/M251))</f>
        <v>0.94022311564453842</v>
      </c>
    </row>
    <row r="238" spans="1:13" ht="15" customHeight="1">
      <c r="A238" s="10">
        <f t="shared" si="394"/>
        <v>4</v>
      </c>
      <c r="B238" s="97">
        <f t="shared" ca="1" si="395"/>
        <v>2.4868509847563738</v>
      </c>
      <c r="C238" s="146">
        <f t="shared" ref="C238:D238" ca="1" si="416">IF($A238&gt;C$160,"",IF(C252=0,0,C308/C252))</f>
        <v>2.0875545921976033</v>
      </c>
      <c r="D238" s="146">
        <f t="shared" ca="1" si="416"/>
        <v>1.5897683692059579</v>
      </c>
      <c r="E238" s="146">
        <f t="shared" ref="E238:F238" ca="1" si="417">IF($A238&gt;E$160,"",IF(E252=0,0,E308/E252))</f>
        <v>8.1712310155611512</v>
      </c>
      <c r="F238" s="146">
        <f t="shared" ca="1" si="417"/>
        <v>2.6402805407408305</v>
      </c>
      <c r="G238" s="146">
        <f t="shared" ref="G238:H238" ca="1" si="418">IF($A238&gt;G$160,"",IF(G252=0,0,G308/G252))</f>
        <v>2.4639994639182574</v>
      </c>
      <c r="H238" s="146">
        <f t="shared" ca="1" si="418"/>
        <v>1.8585193282967003</v>
      </c>
      <c r="I238" s="146">
        <f t="shared" ref="I238:L238" ca="1" si="419">IF($A238&gt;I$160,"",IF(I252=0,0,I308/I252))</f>
        <v>1.9918812667247563</v>
      </c>
      <c r="J238" s="146">
        <f t="shared" ca="1" si="419"/>
        <v>2.7385874867306437</v>
      </c>
      <c r="K238" s="146">
        <f t="shared" ca="1" si="419"/>
        <v>3.2491970178676453</v>
      </c>
      <c r="L238" s="146">
        <f t="shared" ca="1" si="419"/>
        <v>2.3507044247367896</v>
      </c>
      <c r="M238" s="146">
        <f t="shared" ref="M238" ca="1" si="420">IF($A238&gt;M$160,"",IF(M252=0,0,M308/M252))</f>
        <v>0.74302158063250201</v>
      </c>
    </row>
    <row r="239" spans="1:13" ht="15" customHeight="1">
      <c r="A239" s="10">
        <f t="shared" si="394"/>
        <v>5</v>
      </c>
      <c r="B239" s="97">
        <f t="shared" ca="1" si="395"/>
        <v>2.0484163771479724</v>
      </c>
      <c r="C239" s="146">
        <f t="shared" ref="C239:D239" ca="1" si="421">IF($A239&gt;C$160,"",IF(C253=0,0,C309/C253))</f>
        <v>1.7751672683373712</v>
      </c>
      <c r="D239" s="146">
        <f t="shared" ca="1" si="421"/>
        <v>1.4066708833279433</v>
      </c>
      <c r="E239" s="146">
        <f t="shared" ref="E239:F239" ca="1" si="422">IF($A239&gt;E$160,"",IF(E253=0,0,E309/E253))</f>
        <v>5.2596594585513552</v>
      </c>
      <c r="F239" s="146">
        <f t="shared" ca="1" si="422"/>
        <v>2.2326069355317801</v>
      </c>
      <c r="G239" s="146">
        <f t="shared" ref="G239:H239" ca="1" si="423">IF($A239&gt;G$160,"",IF(G253=0,0,G309/G253))</f>
        <v>2.1069322198282183</v>
      </c>
      <c r="H239" s="146">
        <f t="shared" ca="1" si="423"/>
        <v>1.6547664737701635</v>
      </c>
      <c r="I239" s="146">
        <f t="shared" ref="I239:L239" ca="1" si="424">IF($A239&gt;I$160,"",IF(I253=0,0,I309/I253))</f>
        <v>1.739082633191162</v>
      </c>
      <c r="J239" s="146">
        <f t="shared" ca="1" si="424"/>
        <v>2.2667313297453506</v>
      </c>
      <c r="K239" s="146">
        <f t="shared" ca="1" si="424"/>
        <v>2.6346178065245232</v>
      </c>
      <c r="L239" s="146">
        <f t="shared" ca="1" si="424"/>
        <v>2.0573134024719626</v>
      </c>
      <c r="M239" s="146">
        <f t="shared" ref="M239" ca="1" si="425">IF($A239&gt;M$160,"",IF(M253=0,0,M309/M253))</f>
        <v>0.62145674523294958</v>
      </c>
    </row>
    <row r="240" spans="1:13" ht="15" customHeight="1">
      <c r="A240" s="10">
        <f t="shared" si="394"/>
        <v>6</v>
      </c>
      <c r="B240" s="97">
        <f t="shared" ca="1" si="395"/>
        <v>1.7149487775124441</v>
      </c>
      <c r="C240" s="146">
        <f t="shared" ref="C240:D240" ca="1" si="426">IF($A240&gt;C$160,"",IF(C254=0,0,C310/C254))</f>
        <v>1.5159579779366927</v>
      </c>
      <c r="D240" s="146">
        <f t="shared" ca="1" si="426"/>
        <v>1.2339211564008852</v>
      </c>
      <c r="E240" s="146">
        <f t="shared" ref="E240:F240" ca="1" si="427">IF($A240&gt;E$160,"",IF(E254=0,0,E310/E254))</f>
        <v>3.8113704919495253</v>
      </c>
      <c r="F240" s="146">
        <f t="shared" ca="1" si="427"/>
        <v>1.8836135821714202</v>
      </c>
      <c r="G240" s="146">
        <f t="shared" ref="G240:H240" ca="1" si="428">IF($A240&gt;G$160,"",IF(G254=0,0,G310/G254))</f>
        <v>1.7924094414384517</v>
      </c>
      <c r="H240" s="146">
        <f t="shared" ca="1" si="428"/>
        <v>1.447409993009473</v>
      </c>
      <c r="I240" s="146">
        <f t="shared" ref="I240:L240" ca="1" si="429">IF($A240&gt;I$160,"",IF(I254=0,0,I310/I254))</f>
        <v>1.5038717565791961</v>
      </c>
      <c r="J240" s="146">
        <f t="shared" ca="1" si="429"/>
        <v>1.8986061884771401</v>
      </c>
      <c r="K240" s="146">
        <f t="shared" ca="1" si="429"/>
        <v>2.1730045069147477</v>
      </c>
      <c r="L240" s="146">
        <f t="shared" ca="1" si="429"/>
        <v>1.7916078741961388</v>
      </c>
      <c r="M240" s="146">
        <f t="shared" ref="M240" ca="1" si="430">IF($A240&gt;M$160,"",IF(M254=0,0,M310/M254))</f>
        <v>0.53585105793207155</v>
      </c>
    </row>
    <row r="241" spans="1:13" ht="15" customHeight="1">
      <c r="A241" s="10">
        <f t="shared" si="394"/>
        <v>7</v>
      </c>
      <c r="B241" s="97">
        <f t="shared" ca="1" si="395"/>
        <v>1.4760564386978487</v>
      </c>
      <c r="C241" s="146">
        <f t="shared" ref="C241:D241" ca="1" si="431">IF($A241&gt;C$160,"",IF(C255=0,0,C311/C255))</f>
        <v>1.3228110617196194</v>
      </c>
      <c r="D241" s="146">
        <f t="shared" ca="1" si="431"/>
        <v>1.0967160027135743</v>
      </c>
      <c r="E241" s="146">
        <f t="shared" ref="E241:F241" ca="1" si="432">IF($A241&gt;E$160,"",IF(E255=0,0,E311/E255))</f>
        <v>2.9786331964746573</v>
      </c>
      <c r="F241" s="146">
        <f t="shared" ca="1" si="432"/>
        <v>1.6222688552453191</v>
      </c>
      <c r="G241" s="146">
        <f t="shared" ref="G241:H241" ca="1" si="433">IF($A241&gt;G$160,"",IF(G255=0,0,G311/G255))</f>
        <v>1.5537279117235339</v>
      </c>
      <c r="H241" s="146">
        <f t="shared" ca="1" si="433"/>
        <v>1.2792919337191488</v>
      </c>
      <c r="I241" s="146">
        <f t="shared" ref="I241:L241" ca="1" si="434">IF($A241&gt;I$160,"",IF(I255=0,0,I311/I255))</f>
        <v>1.3211415876984764</v>
      </c>
      <c r="J241" s="146">
        <f t="shared" ca="1" si="434"/>
        <v>1.637453907033031</v>
      </c>
      <c r="K241" s="146">
        <f t="shared" ca="1" si="434"/>
        <v>1.8504163913088463</v>
      </c>
      <c r="L241" s="146">
        <f t="shared" ca="1" si="434"/>
        <v>1.5922696038077597</v>
      </c>
      <c r="M241" s="146">
        <f t="shared" ref="M241" ca="1" si="435">IF($A241&gt;M$160,"",IF(M255=0,0,M311/M255))</f>
        <v>0.47882276130215096</v>
      </c>
    </row>
    <row r="242" spans="1:13" ht="15" customHeight="1">
      <c r="A242" s="10">
        <f t="shared" si="394"/>
        <v>8</v>
      </c>
      <c r="B242" s="97">
        <f t="shared" ca="1" si="395"/>
        <v>1.2960362760290027</v>
      </c>
      <c r="C242" s="146">
        <f t="shared" ref="C242:D242" ca="1" si="436">IF($A242&gt;C$160,"",IF(C256=0,0,C312/C256))</f>
        <v>1.172869233199286</v>
      </c>
      <c r="D242" s="146">
        <f t="shared" ca="1" si="436"/>
        <v>0.98467800990936882</v>
      </c>
      <c r="E242" s="146">
        <f t="shared" ref="E242:F242" ca="1" si="437">IF($A242&gt;E$160,"",IF(E256=0,0,E312/E256))</f>
        <v>2.4355614135187671</v>
      </c>
      <c r="F242" s="146">
        <f t="shared" ca="1" si="437"/>
        <v>1.4183593785582871</v>
      </c>
      <c r="G242" s="146">
        <f t="shared" ref="G242:H242" ca="1" si="438">IF($A242&gt;G$160,"",IF(G256=0,0,G312/G256))</f>
        <v>1.3656041801511007</v>
      </c>
      <c r="H242" s="146">
        <f t="shared" ca="1" si="438"/>
        <v>1.1397400619731457</v>
      </c>
      <c r="I242" s="146">
        <f t="shared" ref="I242:L242" ca="1" si="439">IF($A242&gt;I$160,"",IF(I256=0,0,I312/I256))</f>
        <v>1.1743054019515269</v>
      </c>
      <c r="J242" s="146">
        <f t="shared" ca="1" si="439"/>
        <v>1.4421088541649281</v>
      </c>
      <c r="K242" s="146">
        <f t="shared" ca="1" si="439"/>
        <v>1.6114697335574839</v>
      </c>
      <c r="L242" s="146">
        <f t="shared" ca="1" si="439"/>
        <v>1.4367304003013819</v>
      </c>
      <c r="M242" s="146">
        <f t="shared" ref="M242" ca="1" si="440">IF($A242&gt;M$160,"",IF(M256=0,0,M312/M256))</f>
        <v>0.43881755322881499</v>
      </c>
    </row>
    <row r="243" spans="1:13" ht="15" customHeight="1">
      <c r="A243" s="10">
        <f t="shared" si="394"/>
        <v>9</v>
      </c>
      <c r="B243" s="97">
        <f t="shared" ca="1" si="395"/>
        <v>1.1552401692719245</v>
      </c>
      <c r="C243" s="146">
        <f t="shared" ref="C243:D243" ca="1" si="441">IF($A243&gt;C$160,"",IF(C257=0,0,C313/C257))</f>
        <v>1.052794345793074</v>
      </c>
      <c r="D243" s="146">
        <f t="shared" ca="1" si="441"/>
        <v>0.89113087856475459</v>
      </c>
      <c r="E243" s="146">
        <f t="shared" ref="E243:F243" ca="1" si="442">IF($A243&gt;E$160,"",IF(E257=0,0,E313/E257))</f>
        <v>2.0518647124832299</v>
      </c>
      <c r="F243" s="146">
        <f t="shared" ca="1" si="442"/>
        <v>1.2541524665494366</v>
      </c>
      <c r="G243" s="146">
        <f t="shared" ref="G243:H243" ca="1" si="443">IF($A243&gt;G$160,"",IF(G257=0,0,G313/G257))</f>
        <v>1.2128899395318409</v>
      </c>
      <c r="H243" s="146">
        <f t="shared" ca="1" si="443"/>
        <v>1.0216522120836988</v>
      </c>
      <c r="I243" s="146">
        <f t="shared" ref="I243:L243" ca="1" si="444">IF($A243&gt;I$160,"",IF(I257=0,0,I313/I257))</f>
        <v>1.053131175020003</v>
      </c>
      <c r="J243" s="146">
        <f t="shared" ca="1" si="444"/>
        <v>1.290366396988871</v>
      </c>
      <c r="K243" s="146">
        <f t="shared" ca="1" si="444"/>
        <v>1.4270243485959748</v>
      </c>
      <c r="L243" s="146">
        <f t="shared" ca="1" si="444"/>
        <v>1.3118437001745198</v>
      </c>
      <c r="M243" s="146">
        <f t="shared" ref="M243" ca="1" si="445">IF($A243&gt;M$160,"",IF(M257=0,0,M313/M257))</f>
        <v>0.41003530699479873</v>
      </c>
    </row>
    <row r="244" spans="1:13" ht="15" customHeight="1">
      <c r="A244" s="10">
        <f t="shared" si="394"/>
        <v>10</v>
      </c>
      <c r="B244" s="97">
        <f t="shared" ca="1" si="395"/>
        <v>1.0419813513516898</v>
      </c>
      <c r="C244" s="146">
        <f t="shared" ref="C244:D244" ca="1" si="446">IF($A244&gt;C$160,"",IF(C258=0,0,C314/C258))</f>
        <v>0.95429141813518825</v>
      </c>
      <c r="D244" s="146">
        <f t="shared" ca="1" si="446"/>
        <v>0.81158691987504616</v>
      </c>
      <c r="E244" s="146">
        <f t="shared" ref="E244:F244" ca="1" si="447">IF($A244&gt;E$160,"",IF(E258=0,0,E314/E258))</f>
        <v>1.7652580158106443</v>
      </c>
      <c r="F244" s="146">
        <f t="shared" ca="1" si="447"/>
        <v>1.1185574937074616</v>
      </c>
      <c r="G244" s="146">
        <f t="shared" ref="G244:H244" ca="1" si="448">IF($A244&gt;G$160,"",IF(G258=0,0,G314/G258))</f>
        <v>1.0859583862410107</v>
      </c>
      <c r="H244" s="146">
        <f t="shared" ca="1" si="448"/>
        <v>0.92012035956375948</v>
      </c>
      <c r="I244" s="146">
        <f t="shared" ref="I244:L244" ca="1" si="449">IF($A244&gt;I$160,"",IF(I258=0,0,I314/I258))</f>
        <v>0.95096880442781673</v>
      </c>
      <c r="J244" s="146">
        <f t="shared" ca="1" si="449"/>
        <v>1.1692599540406778</v>
      </c>
      <c r="K244" s="146">
        <f t="shared" ca="1" si="449"/>
        <v>1.2803568197542603</v>
      </c>
      <c r="L244" s="146">
        <f t="shared" ca="1" si="449"/>
        <v>1.2095069009340877</v>
      </c>
      <c r="M244" s="146">
        <f t="shared" ref="M244" ca="1" si="450">IF($A244&gt;M$160,"",IF(M258=0,0,M314/M258))</f>
        <v>0.38936204802975377</v>
      </c>
    </row>
    <row r="245" spans="1:13" ht="15" customHeight="1">
      <c r="C245" s="145"/>
      <c r="D245" s="145"/>
      <c r="E245" s="145"/>
      <c r="F245" s="145"/>
      <c r="G245" s="145"/>
      <c r="H245" s="145"/>
      <c r="I245" s="145"/>
      <c r="J245" s="145"/>
      <c r="K245" s="145"/>
      <c r="L245" s="145"/>
      <c r="M245" s="145"/>
    </row>
    <row r="246" spans="1:13" ht="15" customHeight="1">
      <c r="C246" s="145"/>
      <c r="D246" s="145"/>
      <c r="E246" s="145"/>
      <c r="F246" s="145"/>
      <c r="G246" s="145"/>
      <c r="H246" s="145"/>
      <c r="I246" s="145"/>
      <c r="J246" s="145"/>
      <c r="K246" s="145"/>
      <c r="L246" s="145"/>
      <c r="M246" s="145"/>
    </row>
    <row r="247" spans="1:13" ht="15" customHeight="1">
      <c r="A247" s="106" t="s">
        <v>333</v>
      </c>
      <c r="B247" s="94"/>
      <c r="C247" s="144"/>
      <c r="D247" s="144"/>
      <c r="E247" s="144"/>
      <c r="F247" s="144"/>
      <c r="G247" s="144"/>
      <c r="H247" s="144"/>
      <c r="I247" s="144"/>
      <c r="J247" s="144"/>
      <c r="K247" s="144"/>
      <c r="L247" s="144"/>
      <c r="M247" s="144"/>
    </row>
    <row r="248" spans="1:13" ht="15" customHeight="1">
      <c r="A248" s="10">
        <f t="shared" ref="A248:A258" si="451">A234</f>
        <v>0</v>
      </c>
      <c r="B248" s="41">
        <f t="shared" ref="B248:C258" ca="1" si="452">IF($A248&gt;B$160,"",IF($A248=0,B$585,OFFSET(B248,-1,0)+B276))</f>
        <v>3570.7215846943436</v>
      </c>
      <c r="C248" s="144">
        <f t="shared" ca="1" si="452"/>
        <v>7158.8028448655969</v>
      </c>
      <c r="D248" s="144">
        <f t="shared" ref="D248:E248" ca="1" si="453">IF($A248&gt;D$160,"",IF($A248=0,D$585,OFFSET(D248,-1,0)+D276))</f>
        <v>12984.51641923032</v>
      </c>
      <c r="E248" s="144">
        <f t="shared" ca="1" si="453"/>
        <v>-5986.5944296491216</v>
      </c>
      <c r="F248" s="144">
        <f t="shared" ref="F248:G248" ca="1" si="454">IF($A248&gt;F$160,"",IF($A248=0,F$585,OFFSET(F248,-1,0)+F276))</f>
        <v>4199.4141092001519</v>
      </c>
      <c r="G248" s="144">
        <f t="shared" ca="1" si="454"/>
        <v>5144.0685764010414</v>
      </c>
      <c r="H248" s="144">
        <f t="shared" ref="H248:K248" ca="1" si="455">IF($A248&gt;H$160,"",IF($A248=0,H$585,OFFSET(H248,-1,0)+H276))</f>
        <v>10777.911821933812</v>
      </c>
      <c r="I248" s="144">
        <f t="shared" ca="1" si="455"/>
        <v>8210.5503069720289</v>
      </c>
      <c r="J248" s="144">
        <f t="shared" ca="1" si="455"/>
        <v>2544.2282122129109</v>
      </c>
      <c r="K248" s="144">
        <f t="shared" ca="1" si="455"/>
        <v>1298.1210203996743</v>
      </c>
      <c r="L248" s="144">
        <f t="shared" ref="L248:M248" ca="1" si="456">IF($A248&gt;L$160,"",IF($A248=0,L$585,OFFSET(L248,-1,0)+L276))</f>
        <v>7149.1654236249888</v>
      </c>
      <c r="M248" s="144">
        <f t="shared" ca="1" si="456"/>
        <v>3490.6340410545381</v>
      </c>
    </row>
    <row r="249" spans="1:13" ht="15" customHeight="1">
      <c r="A249" s="10">
        <f t="shared" si="451"/>
        <v>1</v>
      </c>
      <c r="B249" s="41">
        <f t="shared" ca="1" si="452"/>
        <v>7814.0015846943425</v>
      </c>
      <c r="C249" s="144">
        <f t="shared" ca="1" si="452"/>
        <v>11154.802844865597</v>
      </c>
      <c r="D249" s="144">
        <f t="shared" ref="D249:E249" ca="1" si="457">IF($A249&gt;D$160,"",IF($A249=0,D$585,OFFSET(D249,-1,0)+D277))</f>
        <v>16640.416419230329</v>
      </c>
      <c r="E249" s="144">
        <f t="shared" ca="1" si="457"/>
        <v>-3307.7372867919753</v>
      </c>
      <c r="F249" s="144">
        <f t="shared" ref="F249:G249" ca="1" si="458">IF($A249&gt;F$160,"",IF($A249=0,F$585,OFFSET(F249,-1,0)+F277))</f>
        <v>7073.4549255266793</v>
      </c>
      <c r="G249" s="144">
        <f t="shared" ca="1" si="458"/>
        <v>7984.7542906867529</v>
      </c>
      <c r="H249" s="144">
        <f t="shared" ref="H249:K249" ca="1" si="459">IF($A249&gt;H$160,"",IF($A249=0,H$585,OFFSET(H249,-1,0)+H277))</f>
        <v>13568.279168872585</v>
      </c>
      <c r="I249" s="144">
        <f t="shared" ca="1" si="459"/>
        <v>11394.836021257746</v>
      </c>
      <c r="J249" s="144">
        <f t="shared" ca="1" si="459"/>
        <v>5722.8748287542685</v>
      </c>
      <c r="K249" s="144">
        <f t="shared" ca="1" si="459"/>
        <v>4228.4946858801031</v>
      </c>
      <c r="L249" s="144">
        <f t="shared" ref="L249:M249" ca="1" si="460">IF($A249&gt;L$160,"",IF($A249=0,L$585,OFFSET(L249,-1,0)+L277))</f>
        <v>10321.624883084452</v>
      </c>
      <c r="M249" s="144">
        <f t="shared" ca="1" si="460"/>
        <v>18753.403271823794</v>
      </c>
    </row>
    <row r="250" spans="1:13" ht="15" customHeight="1">
      <c r="A250" s="10">
        <f t="shared" si="451"/>
        <v>2</v>
      </c>
      <c r="B250" s="41">
        <f t="shared" ca="1" si="452"/>
        <v>12227.012784694351</v>
      </c>
      <c r="C250" s="144">
        <f t="shared" ca="1" si="452"/>
        <v>15310.642844865593</v>
      </c>
      <c r="D250" s="144">
        <f t="shared" ref="D250:E250" ca="1" si="461">IF($A250&gt;D$160,"",IF($A250=0,D$585,OFFSET(D250,-1,0)+D278))</f>
        <v>20442.552419230327</v>
      </c>
      <c r="E250" s="144">
        <f t="shared" ca="1" si="461"/>
        <v>-521.72585822054771</v>
      </c>
      <c r="F250" s="144">
        <f t="shared" ref="F250:G250" ca="1" si="462">IF($A250&gt;F$160,"",IF($A250=0,F$585,OFFSET(F250,-1,0)+F278))</f>
        <v>10062.457374506275</v>
      </c>
      <c r="G250" s="144">
        <f t="shared" ca="1" si="462"/>
        <v>10939.067433543903</v>
      </c>
      <c r="H250" s="144">
        <f t="shared" ref="H250:K250" ca="1" si="463">IF($A250&gt;H$160,"",IF($A250=0,H$585,OFFSET(H250,-1,0)+H278))</f>
        <v>16470.26120968891</v>
      </c>
      <c r="I250" s="144">
        <f t="shared" ca="1" si="463"/>
        <v>14738.336021257754</v>
      </c>
      <c r="J250" s="144">
        <f t="shared" ca="1" si="463"/>
        <v>9060.4537761226966</v>
      </c>
      <c r="K250" s="144">
        <f t="shared" ca="1" si="463"/>
        <v>7305.3870346345529</v>
      </c>
      <c r="L250" s="144">
        <f t="shared" ref="L250:M250" ca="1" si="464">IF($A250&gt;L$160,"",IF($A250=0,L$585,OFFSET(L250,-1,0)+L278))</f>
        <v>13684.431910111482</v>
      </c>
      <c r="M250" s="144">
        <f t="shared" ca="1" si="464"/>
        <v>35237.194041054572</v>
      </c>
    </row>
    <row r="251" spans="1:13" ht="15" customHeight="1">
      <c r="A251" s="10">
        <f t="shared" si="451"/>
        <v>3</v>
      </c>
      <c r="B251" s="41">
        <f t="shared" ca="1" si="452"/>
        <v>16816.544432694354</v>
      </c>
      <c r="C251" s="144">
        <f t="shared" ca="1" si="452"/>
        <v>19632.716444865597</v>
      </c>
      <c r="D251" s="144">
        <f t="shared" ref="D251:E251" ca="1" si="465">IF($A251&gt;D$160,"",IF($A251=0,D$585,OFFSET(D251,-1,0)+D279))</f>
        <v>24396.773859230336</v>
      </c>
      <c r="E251" s="144">
        <f t="shared" ca="1" si="465"/>
        <v>2375.726027493743</v>
      </c>
      <c r="F251" s="144">
        <f t="shared" ref="F251:G251" ca="1" si="466">IF($A251&gt;F$160,"",IF($A251=0,F$585,OFFSET(F251,-1,0)+F279))</f>
        <v>13171.019921445049</v>
      </c>
      <c r="G251" s="144">
        <f t="shared" ca="1" si="466"/>
        <v>14011.553102115338</v>
      </c>
      <c r="H251" s="144">
        <f t="shared" ref="H251:K251" ca="1" si="467">IF($A251&gt;H$160,"",IF($A251=0,H$585,OFFSET(H251,-1,0)+H279))</f>
        <v>19488.322532137885</v>
      </c>
      <c r="I251" s="144">
        <f t="shared" ca="1" si="467"/>
        <v>18249.011021257757</v>
      </c>
      <c r="J251" s="144">
        <f t="shared" ca="1" si="467"/>
        <v>12564.911670859541</v>
      </c>
      <c r="K251" s="144">
        <f t="shared" ca="1" si="467"/>
        <v>10536.124000826732</v>
      </c>
      <c r="L251" s="144">
        <f t="shared" ref="L251:M251" ca="1" si="468">IF($A251&gt;L$160,"",IF($A251=0,L$585,OFFSET(L251,-1,0)+L279))</f>
        <v>17249.007358760133</v>
      </c>
      <c r="M251" s="144">
        <f t="shared" ca="1" si="468"/>
        <v>53039.68807182381</v>
      </c>
    </row>
    <row r="252" spans="1:13" ht="15" customHeight="1">
      <c r="A252" s="10">
        <f t="shared" si="451"/>
        <v>4</v>
      </c>
      <c r="B252" s="41">
        <f t="shared" ca="1" si="452"/>
        <v>21589.65734661436</v>
      </c>
      <c r="C252" s="144">
        <f t="shared" ca="1" si="452"/>
        <v>24127.672988865597</v>
      </c>
      <c r="D252" s="144">
        <f t="shared" ref="D252:E252" ca="1" si="469">IF($A252&gt;D$160,"",IF($A252=0,D$585,OFFSET(D252,-1,0)+D280))</f>
        <v>28509.164156830346</v>
      </c>
      <c r="E252" s="144">
        <f t="shared" ca="1" si="469"/>
        <v>5389.075988636605</v>
      </c>
      <c r="F252" s="144">
        <f t="shared" ref="F252:G252" ca="1" si="470">IF($A252&gt;F$160,"",IF($A252=0,F$585,OFFSET(F252,-1,0)+F280))</f>
        <v>16403.924970261382</v>
      </c>
      <c r="G252" s="144">
        <f t="shared" ca="1" si="470"/>
        <v>17206.938197429627</v>
      </c>
      <c r="H252" s="144">
        <f t="shared" ref="H252:K252" ca="1" si="471">IF($A252&gt;H$160,"",IF($A252=0,H$585,OFFSET(H252,-1,0)+H280))</f>
        <v>22627.106307484824</v>
      </c>
      <c r="I252" s="144">
        <f t="shared" ca="1" si="471"/>
        <v>21935.219771257758</v>
      </c>
      <c r="J252" s="144">
        <f t="shared" ca="1" si="471"/>
        <v>16244.592460333224</v>
      </c>
      <c r="K252" s="144">
        <f t="shared" ca="1" si="471"/>
        <v>13928.397815328513</v>
      </c>
      <c r="L252" s="144">
        <f t="shared" ref="L252:M252" ca="1" si="472">IF($A252&gt;L$160,"",IF($A252=0,L$585,OFFSET(L252,-1,0)+L280))</f>
        <v>21027.457334327704</v>
      </c>
      <c r="M252" s="144">
        <f t="shared" ca="1" si="472"/>
        <v>72266.381625054579</v>
      </c>
    </row>
    <row r="253" spans="1:13" ht="15" customHeight="1">
      <c r="A253" s="10">
        <f t="shared" si="451"/>
        <v>5</v>
      </c>
      <c r="B253" s="41">
        <f t="shared" ca="1" si="452"/>
        <v>26553.694777091165</v>
      </c>
      <c r="C253" s="144">
        <f t="shared" ca="1" si="452"/>
        <v>28802.427794625604</v>
      </c>
      <c r="D253" s="144">
        <f t="shared" ref="D253:E253" ca="1" si="473">IF($A253&gt;D$160,"",IF($A253=0,D$585,OFFSET(D253,-1,0)+D281))</f>
        <v>32786.050066334356</v>
      </c>
      <c r="E253" s="144">
        <f t="shared" ca="1" si="473"/>
        <v>8522.9599482251797</v>
      </c>
      <c r="F253" s="144">
        <f t="shared" ref="F253:G253" ca="1" si="474">IF($A253&gt;F$160,"",IF($A253=0,F$585,OFFSET(F253,-1,0)+F281))</f>
        <v>19766.146221030362</v>
      </c>
      <c r="G253" s="144">
        <f t="shared" ca="1" si="474"/>
        <v>20530.138696556493</v>
      </c>
      <c r="H253" s="144">
        <f t="shared" ref="H253:K253" ca="1" si="475">IF($A253&gt;H$160,"",IF($A253=0,H$585,OFFSET(H253,-1,0)+H281))</f>
        <v>25891.441433845637</v>
      </c>
      <c r="I253" s="144">
        <f t="shared" ca="1" si="475"/>
        <v>25805.73895875776</v>
      </c>
      <c r="J253" s="144">
        <f t="shared" ca="1" si="475"/>
        <v>20108.257289280598</v>
      </c>
      <c r="K253" s="144">
        <f t="shared" ca="1" si="475"/>
        <v>17490.28532055538</v>
      </c>
      <c r="L253" s="144">
        <f t="shared" ref="L253:M253" ca="1" si="476">IF($A253&gt;L$160,"",IF($A253=0,L$585,OFFSET(L253,-1,0)+L281))</f>
        <v>25032.614308429329</v>
      </c>
      <c r="M253" s="144">
        <f t="shared" ca="1" si="476"/>
        <v>93031.210662543817</v>
      </c>
    </row>
    <row r="254" spans="1:13" ht="15" customHeight="1">
      <c r="A254" s="10">
        <f t="shared" si="451"/>
        <v>6</v>
      </c>
      <c r="B254" s="41">
        <f t="shared" ca="1" si="452"/>
        <v>31187.127314698213</v>
      </c>
      <c r="C254" s="144">
        <f t="shared" ca="1" si="452"/>
        <v>33177.998292816963</v>
      </c>
      <c r="D254" s="144">
        <f t="shared" ref="D254:E254" ca="1" si="477">IF($A254&gt;D$160,"",IF($A254=0,D$585,OFFSET(D254,-1,0)+D282))</f>
        <v>36895.966349931332</v>
      </c>
      <c r="E254" s="144">
        <f t="shared" ca="1" si="477"/>
        <v>11554.052513939236</v>
      </c>
      <c r="F254" s="144">
        <f t="shared" ref="F254:G254" ca="1" si="478">IF($A254&gt;F$160,"",IF($A254=0,F$585,OFFSET(F254,-1,0)+F282))</f>
        <v>23035.570165278124</v>
      </c>
      <c r="G254" s="144">
        <f t="shared" ca="1" si="478"/>
        <v>23765.074990426529</v>
      </c>
      <c r="H254" s="144">
        <f t="shared" ref="H254:K254" ca="1" si="479">IF($A254&gt;H$160,"",IF($A254=0,H$585,OFFSET(H254,-1,0)+H282))</f>
        <v>29123.394355752942</v>
      </c>
      <c r="I254" s="144">
        <f t="shared" ca="1" si="479"/>
        <v>29544.660493882759</v>
      </c>
      <c r="J254" s="144">
        <f t="shared" ca="1" si="479"/>
        <v>23637.715110524023</v>
      </c>
      <c r="K254" s="144">
        <f t="shared" ca="1" si="479"/>
        <v>20741.077571075737</v>
      </c>
      <c r="L254" s="144">
        <f t="shared" ref="L254:M254" ca="1" si="480">IF($A254&gt;L$160,"",IF($A254=0,L$585,OFFSET(L254,-1,0)+L282))</f>
        <v>28683.715406020376</v>
      </c>
      <c r="M254" s="144">
        <f t="shared" ca="1" si="480"/>
        <v>111908.30909223491</v>
      </c>
    </row>
    <row r="255" spans="1:13" ht="15" customHeight="1">
      <c r="A255" s="10">
        <f t="shared" si="451"/>
        <v>7</v>
      </c>
      <c r="B255" s="41">
        <f t="shared" ca="1" si="452"/>
        <v>35438.736616912356</v>
      </c>
      <c r="C255" s="144">
        <f t="shared" ca="1" si="452"/>
        <v>37207.412547151413</v>
      </c>
      <c r="D255" s="144">
        <f t="shared" ref="D255:E255" ca="1" si="481">IF($A255&gt;D$160,"",IF($A255=0,D$585,OFFSET(D255,-1,0)+D283))</f>
        <v>40807.245931580706</v>
      </c>
      <c r="E255" s="144">
        <f t="shared" ca="1" si="481"/>
        <v>14461.267911655817</v>
      </c>
      <c r="F255" s="144">
        <f t="shared" ref="F255:G255" ca="1" si="482">IF($A255&gt;F$160,"",IF($A255=0,F$585,OFFSET(F255,-1,0)+F283))</f>
        <v>26191.483906233716</v>
      </c>
      <c r="G255" s="144">
        <f t="shared" ca="1" si="482"/>
        <v>26891.653637004882</v>
      </c>
      <c r="H255" s="144">
        <f t="shared" ref="H255:K255" ca="1" si="483">IF($A255&gt;H$160,"",IF($A255=0,H$585,OFFSET(H255,-1,0)+H283))</f>
        <v>32309.259085808495</v>
      </c>
      <c r="I255" s="144">
        <f t="shared" ca="1" si="483"/>
        <v>33115.493121733016</v>
      </c>
      <c r="J255" s="144">
        <f t="shared" ca="1" si="483"/>
        <v>26770.372622002127</v>
      </c>
      <c r="K255" s="144">
        <f t="shared" ca="1" si="483"/>
        <v>23622.699441517449</v>
      </c>
      <c r="L255" s="144">
        <f t="shared" ref="L255:M255" ca="1" si="484">IF($A255&gt;L$160,"",IF($A255=0,L$585,OFFSET(L255,-1,0)+L283))</f>
        <v>31898.178776070657</v>
      </c>
      <c r="M255" s="144">
        <f t="shared" ca="1" si="484"/>
        <v>128268.69033326423</v>
      </c>
    </row>
    <row r="256" spans="1:13" ht="15" customHeight="1">
      <c r="A256" s="10">
        <f t="shared" si="451"/>
        <v>8</v>
      </c>
      <c r="B256" s="41">
        <f t="shared" ca="1" si="452"/>
        <v>39259.952033304813</v>
      </c>
      <c r="C256" s="144">
        <f t="shared" ca="1" si="452"/>
        <v>40845.97361881542</v>
      </c>
      <c r="D256" s="144">
        <f t="shared" ref="D256:E256" ca="1" si="485">IF($A256&gt;D$160,"",IF($A256=0,D$585,OFFSET(D256,-1,0)+D284))</f>
        <v>44488.766618922091</v>
      </c>
      <c r="E256" s="144">
        <f t="shared" ca="1" si="485"/>
        <v>17223.717504498207</v>
      </c>
      <c r="F256" s="144">
        <f t="shared" ref="F256:G256" ca="1" si="486">IF($A256&gt;F$160,"",IF($A256=0,F$585,OFFSET(F256,-1,0)+F284))</f>
        <v>29213.23141084105</v>
      </c>
      <c r="G256" s="144">
        <f t="shared" ca="1" si="486"/>
        <v>29889.809643306442</v>
      </c>
      <c r="H256" s="144">
        <f t="shared" ref="H256:K256" ca="1" si="487">IF($A256&gt;H$160,"",IF($A256=0,H$585,OFFSET(H256,-1,0)+H284))</f>
        <v>35435.046865103155</v>
      </c>
      <c r="I256" s="144">
        <f t="shared" ca="1" si="487"/>
        <v>36481.938091551085</v>
      </c>
      <c r="J256" s="144">
        <f t="shared" ca="1" si="487"/>
        <v>29448.244462590916</v>
      </c>
      <c r="K256" s="144">
        <f t="shared" ca="1" si="487"/>
        <v>26081.415173096917</v>
      </c>
      <c r="L256" s="144">
        <f t="shared" ref="L256:M256" ca="1" si="488">IF($A256&gt;L$160,"",IF($A256=0,L$585,OFFSET(L256,-1,0)+L284))</f>
        <v>34599.470927222254</v>
      </c>
      <c r="M256" s="144">
        <f t="shared" ca="1" si="488"/>
        <v>141528.63379712441</v>
      </c>
    </row>
    <row r="257" spans="1:13" ht="15" customHeight="1">
      <c r="A257" s="10">
        <f t="shared" si="451"/>
        <v>9</v>
      </c>
      <c r="B257" s="41">
        <f t="shared" ca="1" si="452"/>
        <v>42605.753071892017</v>
      </c>
      <c r="C257" s="144">
        <f t="shared" ca="1" si="452"/>
        <v>44052.065717390215</v>
      </c>
      <c r="D257" s="144">
        <f t="shared" ref="D257:E257" ca="1" si="489">IF($A257&gt;D$160,"",IF($A257=0,D$585,OFFSET(D257,-1,0)+D285))</f>
        <v>47910.351344481518</v>
      </c>
      <c r="E257" s="144">
        <f t="shared" ca="1" si="489"/>
        <v>19820.951631058782</v>
      </c>
      <c r="F257" s="144">
        <f t="shared" ref="F257:G257" ca="1" si="490">IF($A257&gt;F$160,"",IF($A257=0,F$585,OFFSET(F257,-1,0)+F285))</f>
        <v>32080.430607051265</v>
      </c>
      <c r="G257" s="144">
        <f t="shared" ca="1" si="490"/>
        <v>32739.713068886114</v>
      </c>
      <c r="H257" s="144">
        <f t="shared" ref="H257:K257" ca="1" si="491">IF($A257&gt;H$160,"",IF($A257=0,H$585,OFFSET(H257,-1,0)+H285))</f>
        <v>38486.58228602491</v>
      </c>
      <c r="I257" s="144">
        <f t="shared" ca="1" si="491"/>
        <v>39608.479561941058</v>
      </c>
      <c r="J257" s="144">
        <f t="shared" ca="1" si="491"/>
        <v>31619.691228539839</v>
      </c>
      <c r="K257" s="144">
        <f t="shared" ca="1" si="491"/>
        <v>28069.451069398299</v>
      </c>
      <c r="L257" s="144">
        <f t="shared" ref="L257:M257" ca="1" si="492">IF($A257&gt;L$160,"",IF($A257=0,L$585,OFFSET(L257,-1,0)+L285))</f>
        <v>36720.041154679384</v>
      </c>
      <c r="M257" s="144">
        <f t="shared" ca="1" si="492"/>
        <v>151182.86577765498</v>
      </c>
    </row>
    <row r="258" spans="1:13" ht="15" customHeight="1">
      <c r="A258" s="10">
        <f t="shared" si="451"/>
        <v>10</v>
      </c>
      <c r="B258" s="41">
        <f t="shared" ca="1" si="452"/>
        <v>45435.535185892368</v>
      </c>
      <c r="C258" s="144">
        <f t="shared" ca="1" si="452"/>
        <v>46787.93097484071</v>
      </c>
      <c r="D258" s="144">
        <f t="shared" ref="D258:E258" ca="1" si="493">IF($A258&gt;D$160,"",IF($A258=0,D$585,OFFSET(D258,-1,0)+D286))</f>
        <v>51043.170050627741</v>
      </c>
      <c r="E258" s="144">
        <f t="shared" ca="1" si="493"/>
        <v>22233.204971494335</v>
      </c>
      <c r="F258" s="144">
        <f t="shared" ref="F258:G258" ca="1" si="494">IF($A258&gt;F$160,"",IF($A258=0,F$585,OFFSET(F258,-1,0)+F286))</f>
        <v>34773.195603513646</v>
      </c>
      <c r="G258" s="144">
        <f t="shared" ca="1" si="494"/>
        <v>35421.980884795979</v>
      </c>
      <c r="H258" s="144">
        <f t="shared" ref="H258:K258" ca="1" si="495">IF($A258&gt;H$160,"",IF($A258=0,H$585,OFFSET(H258,-1,0)+H286))</f>
        <v>41449.60505180675</v>
      </c>
      <c r="I258" s="144">
        <f t="shared" ca="1" si="495"/>
        <v>42460.988868161563</v>
      </c>
      <c r="J258" s="144">
        <f t="shared" ca="1" si="495"/>
        <v>33241.038147115039</v>
      </c>
      <c r="K258" s="144">
        <f t="shared" ca="1" si="495"/>
        <v>29546.504367502213</v>
      </c>
      <c r="L258" s="144">
        <f t="shared" ref="L258:M258" ca="1" si="496">IF($A258&gt;L$160,"",IF($A258=0,L$585,OFFSET(L258,-1,0)+L286))</f>
        <v>38204.054755676196</v>
      </c>
      <c r="M258" s="144">
        <f t="shared" ca="1" si="496"/>
        <v>156835.42912457924</v>
      </c>
    </row>
    <row r="259" spans="1:13" ht="15" customHeight="1">
      <c r="C259" s="145"/>
      <c r="D259" s="145"/>
      <c r="E259" s="145"/>
      <c r="F259" s="145"/>
      <c r="G259" s="145"/>
      <c r="H259" s="145"/>
      <c r="I259" s="145"/>
      <c r="J259" s="145"/>
      <c r="K259" s="145"/>
      <c r="L259" s="145"/>
      <c r="M259" s="145"/>
    </row>
    <row r="260" spans="1:13" ht="15" customHeight="1">
      <c r="C260" s="145"/>
      <c r="D260" s="145"/>
      <c r="E260" s="145"/>
      <c r="F260" s="145"/>
      <c r="G260" s="145"/>
      <c r="H260" s="145"/>
      <c r="I260" s="145"/>
      <c r="J260" s="145"/>
      <c r="K260" s="145"/>
      <c r="L260" s="145"/>
      <c r="M260" s="145"/>
    </row>
    <row r="261" spans="1:13" ht="15" customHeight="1">
      <c r="A261" s="106" t="str">
        <f>A148</f>
        <v>Reinvestment rate</v>
      </c>
      <c r="B261" s="5"/>
      <c r="C261" s="149"/>
      <c r="D261" s="149"/>
      <c r="E261" s="149"/>
      <c r="F261" s="149"/>
      <c r="G261" s="149"/>
      <c r="H261" s="149"/>
      <c r="I261" s="149"/>
      <c r="J261" s="149"/>
      <c r="K261" s="149"/>
      <c r="L261" s="149"/>
      <c r="M261" s="149"/>
    </row>
    <row r="262" spans="1:13" ht="15" customHeight="1">
      <c r="A262" s="10">
        <f t="shared" ref="A262:A272" si="497">A248</f>
        <v>0</v>
      </c>
      <c r="B262" s="7" t="e">
        <f t="shared" ref="B262:B272" si="498">IF($A262&gt;B$160,"",IF($A262=0,#N/A,B276/B304))</f>
        <v>#N/A</v>
      </c>
      <c r="C262" s="149" t="e">
        <f t="shared" ref="C262:D262" si="499">IF($A262&gt;C$160,"",IF($A262=0,#N/A,C276/C304))</f>
        <v>#N/A</v>
      </c>
      <c r="D262" s="149" t="e">
        <f t="shared" si="499"/>
        <v>#N/A</v>
      </c>
      <c r="E262" s="149" t="e">
        <f t="shared" ref="E262:F262" si="500">IF($A262&gt;E$160,"",IF($A262=0,#N/A,E276/E304))</f>
        <v>#N/A</v>
      </c>
      <c r="F262" s="149" t="e">
        <f t="shared" si="500"/>
        <v>#N/A</v>
      </c>
      <c r="G262" s="149" t="e">
        <f t="shared" ref="G262:H262" si="501">IF($A262&gt;G$160,"",IF($A262=0,#N/A,G276/G304))</f>
        <v>#N/A</v>
      </c>
      <c r="H262" s="149" t="e">
        <f t="shared" si="501"/>
        <v>#N/A</v>
      </c>
      <c r="I262" s="149" t="e">
        <f t="shared" ref="I262:L262" si="502">IF($A262&gt;I$160,"",IF($A262=0,#N/A,I276/I304))</f>
        <v>#N/A</v>
      </c>
      <c r="J262" s="149" t="e">
        <f t="shared" si="502"/>
        <v>#N/A</v>
      </c>
      <c r="K262" s="149" t="e">
        <f t="shared" si="502"/>
        <v>#N/A</v>
      </c>
      <c r="L262" s="149" t="e">
        <f t="shared" si="502"/>
        <v>#N/A</v>
      </c>
      <c r="M262" s="149" t="e">
        <f t="shared" ref="M262" si="503">IF($A262&gt;M$160,"",IF($A262=0,#N/A,M276/M304))</f>
        <v>#N/A</v>
      </c>
    </row>
    <row r="263" spans="1:13" ht="15" customHeight="1">
      <c r="A263" s="10">
        <f t="shared" si="497"/>
        <v>1</v>
      </c>
      <c r="B263" s="7">
        <f t="shared" ca="1" si="498"/>
        <v>8.2496896200589295E-2</v>
      </c>
      <c r="C263" s="149">
        <f t="shared" ref="C263:D263" ca="1" si="504">IF($A263&gt;C$160,"",IF($A263=0,#N/A,C277/C305))</f>
        <v>8.3265421940994122E-2</v>
      </c>
      <c r="D263" s="149">
        <f t="shared" ca="1" si="504"/>
        <v>8.5220699915796075E-2</v>
      </c>
      <c r="E263" s="149">
        <f t="shared" ref="E263:F263" ca="1" si="505">IF($A263&gt;E$160,"",IF($A263=0,#N/A,E277/E305))</f>
        <v>6.4346042991900512E-2</v>
      </c>
      <c r="F263" s="149">
        <f t="shared" ca="1" si="505"/>
        <v>7.0363638996214131E-2</v>
      </c>
      <c r="G263" s="149">
        <f t="shared" ref="G263:H263" ca="1" si="506">IF($A263&gt;G$160,"",IF($A263=0,#N/A,G277/G305))</f>
        <v>7.1300500125317884E-2</v>
      </c>
      <c r="H263" s="149">
        <f t="shared" ca="1" si="506"/>
        <v>7.0341049883614296E-2</v>
      </c>
      <c r="I263" s="149">
        <f t="shared" ref="I263:L263" ca="1" si="507">IF($A263&gt;I$160,"",IF($A263=0,#N/A,I277/I305))</f>
        <v>7.9195535600817032E-2</v>
      </c>
      <c r="J263" s="149">
        <f t="shared" ca="1" si="507"/>
        <v>7.7109288621525537E-2</v>
      </c>
      <c r="K263" s="149">
        <f t="shared" ca="1" si="507"/>
        <v>6.8715870948068428E-2</v>
      </c>
      <c r="L263" s="149">
        <f t="shared" ca="1" si="507"/>
        <v>7.2714489177074015E-2</v>
      </c>
      <c r="M263" s="149">
        <f t="shared" ref="M263" ca="1" si="508">IF($A263&gt;M$160,"",IF($A263=0,#N/A,M277/M305))</f>
        <v>0.35483389182860592</v>
      </c>
    </row>
    <row r="264" spans="1:13" ht="15" customHeight="1">
      <c r="A264" s="10">
        <f t="shared" si="497"/>
        <v>2</v>
      </c>
      <c r="B264" s="7">
        <f t="shared" ca="1" si="498"/>
        <v>8.4526530084797907E-2</v>
      </c>
      <c r="C264" s="149">
        <f t="shared" ref="C264:D264" ca="1" si="509">IF($A264&gt;C$160,"",IF($A264=0,#N/A,C278/C306))</f>
        <v>8.5166820688151512E-2</v>
      </c>
      <c r="D264" s="149">
        <f t="shared" ca="1" si="509"/>
        <v>8.6982861363282385E-2</v>
      </c>
      <c r="E264" s="149">
        <f t="shared" ref="E264:F264" ca="1" si="510">IF($A264&gt;E$160,"",IF($A264=0,#N/A,E278/E306))</f>
        <v>6.5652159302441754E-2</v>
      </c>
      <c r="F264" s="149">
        <f t="shared" ca="1" si="510"/>
        <v>7.1734828656146263E-2</v>
      </c>
      <c r="G264" s="149">
        <f t="shared" ref="G264:H264" ca="1" si="511">IF($A264&gt;G$160,"",IF($A264=0,#N/A,G278/G306))</f>
        <v>7.2606229094763358E-2</v>
      </c>
      <c r="H264" s="149">
        <f t="shared" ca="1" si="511"/>
        <v>7.1717598825967316E-2</v>
      </c>
      <c r="I264" s="149">
        <f t="shared" ref="I264:L264" ca="1" si="512">IF($A264&gt;I$160,"",IF($A264=0,#N/A,I278/I306))</f>
        <v>8.0847555964191978E-2</v>
      </c>
      <c r="J264" s="149">
        <f t="shared" ca="1" si="512"/>
        <v>7.8890931470667433E-2</v>
      </c>
      <c r="K264" s="149">
        <f t="shared" ca="1" si="512"/>
        <v>7.0677548631836035E-2</v>
      </c>
      <c r="L264" s="149">
        <f t="shared" ca="1" si="512"/>
        <v>7.391576080848776E-2</v>
      </c>
      <c r="M264" s="149">
        <f t="shared" ref="M264" ca="1" si="513">IF($A264&gt;M$160,"",IF($A264=0,#N/A,M278/M306))</f>
        <v>0.35590578513742138</v>
      </c>
    </row>
    <row r="265" spans="1:13" ht="15" customHeight="1">
      <c r="A265" s="10">
        <f t="shared" si="497"/>
        <v>3</v>
      </c>
      <c r="B265" s="7">
        <f t="shared" ca="1" si="498"/>
        <v>8.665855128989533E-2</v>
      </c>
      <c r="C265" s="149">
        <f t="shared" ref="C265:D265" ca="1" si="514">IF($A265&gt;C$160,"",IF($A265=0,#N/A,C279/C307))</f>
        <v>8.7157087144986614E-2</v>
      </c>
      <c r="D265" s="149">
        <f t="shared" ca="1" si="514"/>
        <v>8.881943611883801E-2</v>
      </c>
      <c r="E265" s="149">
        <f t="shared" ref="E265:F265" ca="1" si="515">IF($A265&gt;E$160,"",IF($A265=0,#N/A,E279/E307))</f>
        <v>6.7012398132042753E-2</v>
      </c>
      <c r="F265" s="149">
        <f t="shared" ca="1" si="515"/>
        <v>7.316052170308901E-2</v>
      </c>
      <c r="G265" s="149">
        <f t="shared" ref="G265:H265" ca="1" si="516">IF($A265&gt;G$160,"",IF($A265=0,#N/A,G279/G307))</f>
        <v>7.3960673935794197E-2</v>
      </c>
      <c r="H265" s="149">
        <f t="shared" ca="1" si="516"/>
        <v>7.3149100300850159E-2</v>
      </c>
      <c r="I265" s="149">
        <f t="shared" ref="I265:L265" ca="1" si="517">IF($A265&gt;I$160,"",IF($A265=0,#N/A,I279/I307))</f>
        <v>8.256996703071319E-2</v>
      </c>
      <c r="J265" s="149">
        <f t="shared" ca="1" si="517"/>
        <v>8.075685283958367E-2</v>
      </c>
      <c r="K265" s="149">
        <f t="shared" ca="1" si="517"/>
        <v>7.2754520326266323E-2</v>
      </c>
      <c r="L265" s="149">
        <f t="shared" ca="1" si="517"/>
        <v>7.5157390113125208E-2</v>
      </c>
      <c r="M265" s="149">
        <f t="shared" ref="M265" ca="1" si="518">IF($A265&gt;M$160,"",IF($A265=0,#N/A,M279/M307))</f>
        <v>0.35698417408607591</v>
      </c>
    </row>
    <row r="266" spans="1:13" ht="15" customHeight="1">
      <c r="A266" s="10">
        <f t="shared" si="497"/>
        <v>4</v>
      </c>
      <c r="B266" s="7">
        <f t="shared" ca="1" si="498"/>
        <v>8.8900907867599369E-2</v>
      </c>
      <c r="C266" s="149">
        <f t="shared" ref="C266:D266" ca="1" si="519">IF($A266&gt;C$160,"",IF($A266=0,#N/A,C280/C308))</f>
        <v>8.9242600648439613E-2</v>
      </c>
      <c r="D266" s="149">
        <f t="shared" ca="1" si="519"/>
        <v>9.073523938727697E-2</v>
      </c>
      <c r="E266" s="149">
        <f t="shared" ref="E266:F266" ca="1" si="520">IF($A266&gt;E$160,"",IF($A266=0,#N/A,E280/E308))</f>
        <v>6.8430194728154467E-2</v>
      </c>
      <c r="F266" s="149">
        <f t="shared" ca="1" si="520"/>
        <v>7.4644033713285998E-2</v>
      </c>
      <c r="G266" s="149">
        <f t="shared" ref="G266:H266" ca="1" si="521">IF($A266&gt;G$160,"",IF($A266=0,#N/A,G280/G308))</f>
        <v>7.5366612808774033E-2</v>
      </c>
      <c r="H266" s="149">
        <f t="shared" ca="1" si="521"/>
        <v>7.4638911926668258E-2</v>
      </c>
      <c r="I266" s="149">
        <f t="shared" ref="I266:L266" ca="1" si="522">IF($A266&gt;I$160,"",IF($A266=0,#N/A,I280/I308))</f>
        <v>8.4367365634657798E-2</v>
      </c>
      <c r="J266" s="149">
        <f t="shared" ca="1" si="522"/>
        <v>8.2713177638512603E-2</v>
      </c>
      <c r="K266" s="149">
        <f t="shared" ca="1" si="522"/>
        <v>7.4957258059760418E-2</v>
      </c>
      <c r="L266" s="149">
        <f t="shared" ca="1" si="522"/>
        <v>7.6441445609812933E-2</v>
      </c>
      <c r="M266" s="149">
        <f t="shared" ref="M266" ca="1" si="523">IF($A266&gt;M$160,"",IF($A266=0,#N/A,M280/M308))</f>
        <v>0.35806911789907897</v>
      </c>
    </row>
    <row r="267" spans="1:13" ht="15" customHeight="1">
      <c r="A267" s="10">
        <f t="shared" si="497"/>
        <v>5</v>
      </c>
      <c r="B267" s="7">
        <f t="shared" ca="1" si="498"/>
        <v>9.1262392369482276E-2</v>
      </c>
      <c r="C267" s="149">
        <f t="shared" ref="C267:D267" ca="1" si="524">IF($A267&gt;C$160,"",IF($A267=0,#N/A,C281/C309))</f>
        <v>9.1430366088395401E-2</v>
      </c>
      <c r="D267" s="149">
        <f t="shared" ca="1" si="524"/>
        <v>9.2735510980985578E-2</v>
      </c>
      <c r="E267" s="149">
        <f t="shared" ref="E267:F267" ca="1" si="525">IF($A267&gt;E$160,"",IF($A267=0,#N/A,E281/E309))</f>
        <v>6.9909281343288346E-2</v>
      </c>
      <c r="F267" s="149">
        <f t="shared" ca="1" si="525"/>
        <v>7.6188954755299881E-2</v>
      </c>
      <c r="G267" s="149">
        <f t="shared" ref="G267:H267" ca="1" si="526">IF($A267&gt;G$160,"",IF($A267=0,#N/A,G281/G309))</f>
        <v>7.6827039210730516E-2</v>
      </c>
      <c r="H267" s="149">
        <f t="shared" ca="1" si="526"/>
        <v>7.6190670544187156E-2</v>
      </c>
      <c r="I267" s="149">
        <f t="shared" ref="I267:L267" ca="1" si="527">IF($A267&gt;I$160,"",IF($A267=0,#N/A,I281/I309))</f>
        <v>8.624475777612127E-2</v>
      </c>
      <c r="J267" s="149">
        <f t="shared" ca="1" si="527"/>
        <v>8.4766639012895412E-2</v>
      </c>
      <c r="K267" s="149">
        <f t="shared" ca="1" si="527"/>
        <v>7.7297541673578149E-2</v>
      </c>
      <c r="L267" s="149">
        <f t="shared" ca="1" si="527"/>
        <v>7.7770139636144264E-2</v>
      </c>
      <c r="M267" s="149">
        <f t="shared" ref="M267" ca="1" si="528">IF($A267&gt;M$160,"",IF($A267=0,#N/A,M281/M309))</f>
        <v>0.35916067652311423</v>
      </c>
    </row>
    <row r="268" spans="1:13" ht="15" customHeight="1">
      <c r="A268" s="10">
        <f t="shared" si="497"/>
        <v>6</v>
      </c>
      <c r="B268" s="7">
        <f t="shared" ca="1" si="498"/>
        <v>8.6631596507765307E-2</v>
      </c>
      <c r="C268" s="149">
        <f t="shared" ref="C268:D268" ca="1" si="529">IF($A268&gt;C$160,"",IF($A268=0,#N/A,C282/C310))</f>
        <v>8.6995610892053307E-2</v>
      </c>
      <c r="D268" s="149">
        <f t="shared" ca="1" si="529"/>
        <v>9.0274829233025974E-2</v>
      </c>
      <c r="E268" s="149">
        <f t="shared" ref="E268:F268" ca="1" si="530">IF($A268&gt;E$160,"",IF($A268=0,#N/A,E282/E310))</f>
        <v>6.8830939107422343E-2</v>
      </c>
      <c r="F268" s="149">
        <f t="shared" ca="1" si="530"/>
        <v>7.5349514682674451E-2</v>
      </c>
      <c r="G268" s="149">
        <f t="shared" ref="G268:H268" ca="1" si="531">IF($A268&gt;G$160,"",IF($A268=0,#N/A,G282/G310))</f>
        <v>7.5943274770613425E-2</v>
      </c>
      <c r="H268" s="149">
        <f t="shared" ca="1" si="531"/>
        <v>7.6671060141517797E-2</v>
      </c>
      <c r="I268" s="149">
        <f t="shared" ref="I268:L268" ca="1" si="532">IF($A268&gt;I$160,"",IF($A268=0,#N/A,I282/I310))</f>
        <v>8.4150469672515368E-2</v>
      </c>
      <c r="J268" s="149">
        <f t="shared" ca="1" si="532"/>
        <v>7.8644364978151818E-2</v>
      </c>
      <c r="K268" s="149">
        <f t="shared" ca="1" si="532"/>
        <v>7.2126901040153804E-2</v>
      </c>
      <c r="L268" s="149">
        <f t="shared" ca="1" si="532"/>
        <v>7.1046958587571596E-2</v>
      </c>
      <c r="M268" s="149">
        <f t="shared" ref="M268" ca="1" si="533">IF($A268&gt;M$160,"",IF($A268=0,#N/A,M282/M310))</f>
        <v>0.31479571648658877</v>
      </c>
    </row>
    <row r="269" spans="1:13" ht="15" customHeight="1">
      <c r="A269" s="10">
        <f t="shared" si="497"/>
        <v>7</v>
      </c>
      <c r="B269" s="7">
        <f t="shared" ca="1" si="498"/>
        <v>8.127784010353363E-2</v>
      </c>
      <c r="C269" s="149">
        <f t="shared" ref="C269:D269" ca="1" si="534">IF($A269&gt;C$160,"",IF($A269=0,#N/A,C283/C311))</f>
        <v>8.186808481927367E-2</v>
      </c>
      <c r="D269" s="149">
        <f t="shared" ca="1" si="534"/>
        <v>8.7395162643176857E-2</v>
      </c>
      <c r="E269" s="149">
        <f t="shared" ref="E269:F269" ca="1" si="535">IF($A269&gt;E$160,"",IF($A269=0,#N/A,E283/E311))</f>
        <v>6.7492235435633444E-2</v>
      </c>
      <c r="F269" s="149">
        <f t="shared" ca="1" si="535"/>
        <v>7.4274919407860074E-2</v>
      </c>
      <c r="G269" s="149">
        <f t="shared" ref="G269:H269" ca="1" si="536">IF($A269&gt;G$160,"",IF($A269=0,#N/A,G283/G311))</f>
        <v>7.4830195684388437E-2</v>
      </c>
      <c r="H269" s="149">
        <f t="shared" ca="1" si="536"/>
        <v>7.7078041589249288E-2</v>
      </c>
      <c r="I269" s="149">
        <f t="shared" ref="I269:L269" ca="1" si="537">IF($A269&gt;I$160,"",IF($A269=0,#N/A,I283/I311))</f>
        <v>8.1618555475155743E-2</v>
      </c>
      <c r="J269" s="149">
        <f t="shared" ca="1" si="537"/>
        <v>7.1464344852020814E-2</v>
      </c>
      <c r="K269" s="149">
        <f t="shared" ca="1" si="537"/>
        <v>6.5923157500547197E-2</v>
      </c>
      <c r="L269" s="149">
        <f t="shared" ca="1" si="537"/>
        <v>6.3288672872830104E-2</v>
      </c>
      <c r="M269" s="149">
        <f t="shared" ref="M269" ca="1" si="538">IF($A269&gt;M$160,"",IF($A269=0,#N/A,M283/M311))</f>
        <v>0.26637776602187391</v>
      </c>
    </row>
    <row r="270" spans="1:13" ht="15" customHeight="1">
      <c r="A270" s="10">
        <f t="shared" si="497"/>
        <v>8</v>
      </c>
      <c r="B270" s="7">
        <f t="shared" ca="1" si="498"/>
        <v>7.5099076927254413E-2</v>
      </c>
      <c r="C270" s="149">
        <f t="shared" ref="C270:D270" ca="1" si="539">IF($A270&gt;C$160,"",IF($A270=0,#N/A,C284/C312))</f>
        <v>7.5950532351921785E-2</v>
      </c>
      <c r="D270" s="149">
        <f t="shared" ca="1" si="539"/>
        <v>8.403934138573442E-2</v>
      </c>
      <c r="E270" s="149">
        <f t="shared" ref="E270:F270" ca="1" si="540">IF($A270&gt;E$160,"",IF($A270=0,#N/A,E284/E312))</f>
        <v>6.5851911123340948E-2</v>
      </c>
      <c r="F270" s="149">
        <f t="shared" ca="1" si="540"/>
        <v>7.292766163427801E-2</v>
      </c>
      <c r="G270" s="149">
        <f t="shared" ref="G270:H270" ca="1" si="541">IF($A270&gt;G$160,"",IF($A270=0,#N/A,G284/G312))</f>
        <v>7.3452442271453505E-2</v>
      </c>
      <c r="H270" s="149">
        <f t="shared" ca="1" si="541"/>
        <v>7.7396382699508867E-2</v>
      </c>
      <c r="I270" s="149">
        <f t="shared" ref="I270:L270" ca="1" si="542">IF($A270&gt;I$160,"",IF($A270=0,#N/A,I284/I312))</f>
        <v>7.8580096691545018E-2</v>
      </c>
      <c r="J270" s="149">
        <f t="shared" ca="1" si="542"/>
        <v>6.3056859230998311E-2</v>
      </c>
      <c r="K270" s="149">
        <f t="shared" ca="1" si="542"/>
        <v>5.849988528822396E-2</v>
      </c>
      <c r="L270" s="149">
        <f t="shared" ca="1" si="542"/>
        <v>5.4340898821802014E-2</v>
      </c>
      <c r="M270" s="149">
        <f t="shared" ref="M270" ca="1" si="543">IF($A270&gt;M$160,"",IF($A270=0,#N/A,M284/M312))</f>
        <v>0.21350761362698134</v>
      </c>
    </row>
    <row r="271" spans="1:13" ht="15" customHeight="1">
      <c r="A271" s="10">
        <f t="shared" si="497"/>
        <v>9</v>
      </c>
      <c r="B271" s="7">
        <f t="shared" ca="1" si="498"/>
        <v>6.7976622778368051E-2</v>
      </c>
      <c r="C271" s="149">
        <f t="shared" ref="C271:D271" ca="1" si="544">IF($A271&gt;C$160,"",IF($A271=0,#N/A,C285/C313))</f>
        <v>6.9129938660184839E-2</v>
      </c>
      <c r="D271" s="149">
        <f t="shared" ca="1" si="544"/>
        <v>8.0141312387658134E-2</v>
      </c>
      <c r="E271" s="149">
        <f t="shared" ref="E271:F271" ca="1" si="545">IF($A271&gt;E$160,"",IF($A271=0,#N/A,E285/E313))</f>
        <v>6.3861317831165651E-2</v>
      </c>
      <c r="F271" s="149">
        <f t="shared" ca="1" si="545"/>
        <v>7.1263531551520348E-2</v>
      </c>
      <c r="G271" s="149">
        <f t="shared" ref="G271:H271" ca="1" si="546">IF($A271&gt;G$160,"",IF($A271=0,#N/A,G285/G313))</f>
        <v>7.1768501872188736E-2</v>
      </c>
      <c r="H271" s="149">
        <f t="shared" ca="1" si="546"/>
        <v>7.7607910276708589E-2</v>
      </c>
      <c r="I271" s="149">
        <f t="shared" ref="I271:L271" ca="1" si="547">IF($A271&gt;I$160,"",IF($A271=0,#N/A,I285/I313))</f>
        <v>7.4953782280571021E-2</v>
      </c>
      <c r="J271" s="149">
        <f t="shared" ca="1" si="547"/>
        <v>5.3220446936299036E-2</v>
      </c>
      <c r="K271" s="149">
        <f t="shared" ca="1" si="547"/>
        <v>4.9631673472441851E-2</v>
      </c>
      <c r="L271" s="149">
        <f t="shared" ca="1" si="547"/>
        <v>4.4021760466909636E-2</v>
      </c>
      <c r="M271" s="149">
        <f t="shared" ref="M271" ca="1" si="548">IF($A271&gt;M$160,"",IF($A271=0,#N/A,M285/M313))</f>
        <v>0.15573775235753645</v>
      </c>
    </row>
    <row r="272" spans="1:13" ht="15" customHeight="1">
      <c r="A272" s="10">
        <f t="shared" si="497"/>
        <v>10</v>
      </c>
      <c r="B272" s="7">
        <f t="shared" ca="1" si="498"/>
        <v>5.9771947032859152E-2</v>
      </c>
      <c r="C272" s="149">
        <f t="shared" ref="C272:D272" ca="1" si="549">IF($A272&gt;C$160,"",IF($A272=0,#N/A,C286/C314))</f>
        <v>6.1274509803921635E-2</v>
      </c>
      <c r="D272" s="149">
        <f t="shared" ca="1" si="549"/>
        <v>7.5624512099921784E-2</v>
      </c>
      <c r="E272" s="149">
        <f t="shared" ref="E272:F272" ca="1" si="550">IF($A272&gt;E$160,"",IF($A272=0,#N/A,E286/E314))</f>
        <v>6.1462844055999381E-2</v>
      </c>
      <c r="F272" s="149">
        <f t="shared" ca="1" si="550"/>
        <v>6.9230192312499828E-2</v>
      </c>
      <c r="G272" s="149">
        <f t="shared" ref="G272:H272" ca="1" si="551">IF($A272&gt;G$160,"",IF($A272=0,#N/A,G286/G314))</f>
        <v>6.9729429305638121E-2</v>
      </c>
      <c r="H272" s="149">
        <f t="shared" ca="1" si="551"/>
        <v>7.7690863963297274E-2</v>
      </c>
      <c r="I272" s="149">
        <f t="shared" ref="I272:L272" ca="1" si="552">IF($A272&gt;I$160,"",IF($A272=0,#N/A,I286/I314))</f>
        <v>7.0643253922466856E-2</v>
      </c>
      <c r="J272" s="149">
        <f t="shared" ca="1" si="552"/>
        <v>4.1714812512775208E-2</v>
      </c>
      <c r="K272" s="149">
        <f t="shared" ca="1" si="552"/>
        <v>3.9044425819726988E-2</v>
      </c>
      <c r="L272" s="149">
        <f t="shared" ca="1" si="552"/>
        <v>3.2115898140360956E-2</v>
      </c>
      <c r="M272" s="149">
        <f t="shared" ref="M272" ca="1" si="553">IF($A272&gt;M$160,"",IF($A272=0,#N/A,M286/M314))</f>
        <v>9.2565178703589643E-2</v>
      </c>
    </row>
    <row r="273" spans="1:13" ht="15" customHeight="1">
      <c r="C273" s="145"/>
      <c r="D273" s="145"/>
      <c r="E273" s="145"/>
      <c r="F273" s="145"/>
      <c r="G273" s="145"/>
      <c r="H273" s="145"/>
      <c r="I273" s="145"/>
      <c r="J273" s="145"/>
      <c r="K273" s="145"/>
      <c r="L273" s="145"/>
      <c r="M273" s="145"/>
    </row>
    <row r="274" spans="1:13" ht="15" customHeight="1">
      <c r="C274" s="145"/>
      <c r="D274" s="145"/>
      <c r="E274" s="145"/>
      <c r="F274" s="145"/>
      <c r="G274" s="145"/>
      <c r="H274" s="145"/>
      <c r="I274" s="145"/>
      <c r="J274" s="145"/>
      <c r="K274" s="145"/>
      <c r="L274" s="145"/>
      <c r="M274" s="145"/>
    </row>
    <row r="275" spans="1:13" ht="15" customHeight="1">
      <c r="A275" s="106" t="str">
        <f>A149</f>
        <v>Reinvestment</v>
      </c>
      <c r="B275" s="94"/>
      <c r="C275" s="144"/>
      <c r="D275" s="144"/>
      <c r="E275" s="144"/>
      <c r="F275" s="144"/>
      <c r="G275" s="144"/>
      <c r="H275" s="144"/>
      <c r="I275" s="144"/>
      <c r="J275" s="144"/>
      <c r="K275" s="144"/>
      <c r="L275" s="144"/>
      <c r="M275" s="144"/>
    </row>
    <row r="276" spans="1:13" ht="15" customHeight="1">
      <c r="A276" s="10">
        <f t="shared" ref="A276:A286" si="554">A262</f>
        <v>0</v>
      </c>
      <c r="B276" s="41">
        <f t="shared" ref="B276:B286" ca="1" si="555">IF($A276&gt;B$160,"",IF($A276=0,+B$304-B$192,(B374-OFFSET(B374,-1,0))/B290))</f>
        <v>4178.0469020284581</v>
      </c>
      <c r="C276" s="144">
        <f t="shared" ref="C276:D276" ca="1" si="556">IF($A276&gt;C$160,"",IF($A276=0,+C$304-C$192,(C374-OFFSET(C374,-1,0))/C290))</f>
        <v>3928.0894436201925</v>
      </c>
      <c r="D276" s="144">
        <f t="shared" ca="1" si="556"/>
        <v>3586.5037067790981</v>
      </c>
      <c r="E276" s="144">
        <f t="shared" ref="E276:F276" ca="1" si="557">IF($A276&gt;E$160,"",IF($A276=0,+E$304-E$192,(E374-OFFSET(E374,-1,0))/E290))</f>
        <v>2627.0688874205152</v>
      </c>
      <c r="F276" s="144">
        <f t="shared" ca="1" si="557"/>
        <v>2816.3242707101963</v>
      </c>
      <c r="G276" s="144">
        <f t="shared" ref="G276:H276" ca="1" si="558">IF($A276&gt;G$160,"",IF($A276=0,+G$304-G$192,(G374-OFFSET(G374,-1,0))/G290))</f>
        <v>2780.5497757405246</v>
      </c>
      <c r="H276" s="144">
        <f t="shared" ca="1" si="558"/>
        <v>2734.5439522502711</v>
      </c>
      <c r="I276" s="144">
        <f t="shared" ref="I276:L276" ca="1" si="559">IF($A276&gt;I$160,"",IF($A276=0,+I$304-I$192,(I374-OFFSET(I374,-1,0))/I290))</f>
        <v>3094.6215963576105</v>
      </c>
      <c r="J276" s="144">
        <f t="shared" ca="1" si="559"/>
        <v>3095.6494905783329</v>
      </c>
      <c r="K276" s="144">
        <f t="shared" ca="1" si="559"/>
        <v>2868.2924876580073</v>
      </c>
      <c r="L276" s="144">
        <f t="shared" ca="1" si="559"/>
        <v>3041.5263742552706</v>
      </c>
      <c r="M276" s="144">
        <f t="shared" ref="M276" ca="1" si="560">IF($A276&gt;M$160,"",IF($A276=0,+M$304-M$192,(M374-OFFSET(M374,-1,0))/M290))</f>
        <v>14174.756130820064</v>
      </c>
    </row>
    <row r="277" spans="1:13" ht="15" customHeight="1">
      <c r="A277" s="10">
        <f t="shared" si="554"/>
        <v>1</v>
      </c>
      <c r="B277" s="41">
        <f t="shared" ca="1" si="555"/>
        <v>4243.2799999999988</v>
      </c>
      <c r="C277" s="144">
        <f t="shared" ref="C277:D277" ca="1" si="561">IF($A277&gt;C$160,"",IF($A277=0,+C$304-C$192,(C375-OFFSET(C375,-1,0))/C291))</f>
        <v>3996</v>
      </c>
      <c r="D277" s="144">
        <f t="shared" ca="1" si="561"/>
        <v>3655.9000000000087</v>
      </c>
      <c r="E277" s="144">
        <f t="shared" ref="E277:F277" ca="1" si="562">IF($A277&gt;E$160,"",IF($A277=0,+E$304-E$192,(E375-OFFSET(E375,-1,0))/E291))</f>
        <v>2678.8571428571463</v>
      </c>
      <c r="F277" s="144">
        <f t="shared" ca="1" si="562"/>
        <v>2874.0408163265279</v>
      </c>
      <c r="G277" s="144">
        <f t="shared" ref="G277:H277" ca="1" si="563">IF($A277&gt;G$160,"",IF($A277=0,+G$304-G$192,(G375-OFFSET(G375,-1,0))/G291))</f>
        <v>2840.6857142857111</v>
      </c>
      <c r="H277" s="144">
        <f t="shared" ca="1" si="563"/>
        <v>2790.3673469387732</v>
      </c>
      <c r="I277" s="144">
        <f t="shared" ref="I277:L277" ca="1" si="564">IF($A277&gt;I$160,"",IF($A277=0,+I$304-I$192,(I375-OFFSET(I375,-1,0))/I291))</f>
        <v>3184.2857142857183</v>
      </c>
      <c r="J277" s="144">
        <f t="shared" ca="1" si="564"/>
        <v>3178.6466165413576</v>
      </c>
      <c r="K277" s="144">
        <f t="shared" ca="1" si="564"/>
        <v>2930.3736654804293</v>
      </c>
      <c r="L277" s="144">
        <f t="shared" ca="1" si="564"/>
        <v>3172.4594594594632</v>
      </c>
      <c r="M277" s="144">
        <f t="shared" ref="M277" ca="1" si="565">IF($A277&gt;M$160,"",IF($A277=0,+M$304-M$192,(M375-OFFSET(M375,-1,0))/M291))</f>
        <v>15262.769230769258</v>
      </c>
    </row>
    <row r="278" spans="1:13" ht="15" customHeight="1">
      <c r="A278" s="10">
        <f t="shared" si="554"/>
        <v>2</v>
      </c>
      <c r="B278" s="41">
        <f t="shared" ca="1" si="555"/>
        <v>4413.0112000000081</v>
      </c>
      <c r="C278" s="144">
        <f t="shared" ref="C278:D278" ca="1" si="566">IF($A278&gt;C$160,"",IF($A278=0,+C$304-C$192,(C376-OFFSET(C376,-1,0))/C292))</f>
        <v>4155.8399999999965</v>
      </c>
      <c r="D278" s="144">
        <f t="shared" ca="1" si="566"/>
        <v>3802.1359999999986</v>
      </c>
      <c r="E278" s="144">
        <f t="shared" ref="E278:F278" ca="1" si="567">IF($A278&gt;E$160,"",IF($A278=0,+E$304-E$192,(E376-OFFSET(E376,-1,0))/E292))</f>
        <v>2786.0114285714276</v>
      </c>
      <c r="F278" s="144">
        <f t="shared" ca="1" si="567"/>
        <v>2989.0024489795965</v>
      </c>
      <c r="G278" s="144">
        <f t="shared" ref="G278:H278" ca="1" si="568">IF($A278&gt;G$160,"",IF($A278=0,+G$304-G$192,(G376-OFFSET(G376,-1,0))/G292))</f>
        <v>2954.3131428571505</v>
      </c>
      <c r="H278" s="144">
        <f t="shared" ca="1" si="568"/>
        <v>2901.9820408163264</v>
      </c>
      <c r="I278" s="144">
        <f t="shared" ref="I278:L278" ca="1" si="569">IF($A278&gt;I$160,"",IF($A278=0,+I$304-I$192,(I376-OFFSET(I376,-1,0))/I292))</f>
        <v>3343.5000000000077</v>
      </c>
      <c r="J278" s="144">
        <f t="shared" ca="1" si="569"/>
        <v>3337.5789473684285</v>
      </c>
      <c r="K278" s="144">
        <f t="shared" ca="1" si="569"/>
        <v>3076.8923487544498</v>
      </c>
      <c r="L278" s="144">
        <f t="shared" ca="1" si="569"/>
        <v>3362.8070270270287</v>
      </c>
      <c r="M278" s="144">
        <f t="shared" ref="M278" ca="1" si="570">IF($A278&gt;M$160,"",IF($A278=0,+M$304-M$192,(M376-OFFSET(M376,-1,0))/M292))</f>
        <v>16483.790769230778</v>
      </c>
    </row>
    <row r="279" spans="1:13" ht="15" customHeight="1">
      <c r="A279" s="10">
        <f t="shared" si="554"/>
        <v>3</v>
      </c>
      <c r="B279" s="41">
        <f t="shared" ca="1" si="555"/>
        <v>4589.5316480000038</v>
      </c>
      <c r="C279" s="144">
        <f t="shared" ref="C279:D279" ca="1" si="571">IF($A279&gt;C$160,"",IF($A279=0,+C$304-C$192,(C377-OFFSET(C377,-1,0))/C293))</f>
        <v>4322.0736000000034</v>
      </c>
      <c r="D279" s="144">
        <f t="shared" ca="1" si="571"/>
        <v>3954.2214400000084</v>
      </c>
      <c r="E279" s="144">
        <f t="shared" ref="E279:F279" ca="1" si="572">IF($A279&gt;E$160,"",IF($A279=0,+E$304-E$192,(E377-OFFSET(E377,-1,0))/E293))</f>
        <v>2897.4518857142907</v>
      </c>
      <c r="F279" s="144">
        <f t="shared" ca="1" si="572"/>
        <v>3108.5625469387742</v>
      </c>
      <c r="G279" s="144">
        <f t="shared" ref="G279:H279" ca="1" si="573">IF($A279&gt;G$160,"",IF($A279=0,+G$304-G$192,(G377-OFFSET(G377,-1,0))/G293))</f>
        <v>3072.4856685714353</v>
      </c>
      <c r="H279" s="144">
        <f t="shared" ca="1" si="573"/>
        <v>3018.0613224489771</v>
      </c>
      <c r="I279" s="144">
        <f t="shared" ref="I279:L279" ca="1" si="574">IF($A279&gt;I$160,"",IF($A279=0,+I$304-I$192,(I377-OFFSET(I377,-1,0))/I293))</f>
        <v>3510.6750000000047</v>
      </c>
      <c r="J279" s="144">
        <f t="shared" ca="1" si="574"/>
        <v>3504.4578947368445</v>
      </c>
      <c r="K279" s="144">
        <f t="shared" ca="1" si="574"/>
        <v>3230.7369661921789</v>
      </c>
      <c r="L279" s="144">
        <f t="shared" ca="1" si="574"/>
        <v>3564.5754486486508</v>
      </c>
      <c r="M279" s="144">
        <f t="shared" ref="M279" ca="1" si="575">IF($A279&gt;M$160,"",IF($A279=0,+M$304-M$192,(M377-OFFSET(M377,-1,0))/M293))</f>
        <v>17802.494030769238</v>
      </c>
    </row>
    <row r="280" spans="1:13" ht="15" customHeight="1">
      <c r="A280" s="10">
        <f t="shared" si="554"/>
        <v>4</v>
      </c>
      <c r="B280" s="41">
        <f t="shared" ca="1" si="555"/>
        <v>4773.1129139200057</v>
      </c>
      <c r="C280" s="144">
        <f t="shared" ref="C280:D280" ca="1" si="576">IF($A280&gt;C$160,"",IF($A280=0,+C$304-C$192,(C378-OFFSET(C378,-1,0))/C294))</f>
        <v>4494.9565440000006</v>
      </c>
      <c r="D280" s="144">
        <f t="shared" ca="1" si="576"/>
        <v>4112.3902976000099</v>
      </c>
      <c r="E280" s="144">
        <f t="shared" ref="E280:F280" ca="1" si="577">IF($A280&gt;E$160,"",IF($A280=0,+E$304-E$192,(E378-OFFSET(E378,-1,0))/E294))</f>
        <v>3013.3499611428624</v>
      </c>
      <c r="F280" s="144">
        <f t="shared" ca="1" si="577"/>
        <v>3232.9050488163339</v>
      </c>
      <c r="G280" s="144">
        <f t="shared" ref="G280:H280" ca="1" si="578">IF($A280&gt;G$160,"",IF($A280=0,+G$304-G$192,(G378-OFFSET(G378,-1,0))/G294))</f>
        <v>3195.3850953142887</v>
      </c>
      <c r="H280" s="144">
        <f t="shared" ca="1" si="578"/>
        <v>3138.783775346938</v>
      </c>
      <c r="I280" s="144">
        <f t="shared" ref="I280:L280" ca="1" si="579">IF($A280&gt;I$160,"",IF($A280=0,+I$304-I$192,(I378-OFFSET(I378,-1,0))/I294))</f>
        <v>3686.2087500000002</v>
      </c>
      <c r="J280" s="144">
        <f t="shared" ca="1" si="579"/>
        <v>3679.6807894736826</v>
      </c>
      <c r="K280" s="144">
        <f t="shared" ca="1" si="579"/>
        <v>3392.2738145017815</v>
      </c>
      <c r="L280" s="144">
        <f t="shared" ca="1" si="579"/>
        <v>3778.4499755675702</v>
      </c>
      <c r="M280" s="144">
        <f t="shared" ref="M280" ca="1" si="580">IF($A280&gt;M$160,"",IF($A280=0,+M$304-M$192,(M378-OFFSET(M378,-1,0))/M294))</f>
        <v>19226.693553230776</v>
      </c>
    </row>
    <row r="281" spans="1:13" ht="15" customHeight="1">
      <c r="A281" s="10">
        <f t="shared" si="554"/>
        <v>5</v>
      </c>
      <c r="B281" s="41">
        <f t="shared" ca="1" si="555"/>
        <v>4964.0374304768047</v>
      </c>
      <c r="C281" s="144">
        <f t="shared" ref="C281:D281" ca="1" si="581">IF($A281&gt;C$160,"",IF($A281=0,+C$304-C$192,(C379-OFFSET(C379,-1,0))/C295))</f>
        <v>4674.754805760007</v>
      </c>
      <c r="D281" s="144">
        <f t="shared" ca="1" si="581"/>
        <v>4276.8859095040098</v>
      </c>
      <c r="E281" s="144">
        <f t="shared" ref="E281:F281" ca="1" si="582">IF($A281&gt;E$160,"",IF($A281=0,+E$304-E$192,(E379-OFFSET(E379,-1,0))/E295))</f>
        <v>3133.8839595885752</v>
      </c>
      <c r="F281" s="144">
        <f t="shared" ca="1" si="582"/>
        <v>3362.2212507689787</v>
      </c>
      <c r="G281" s="144">
        <f t="shared" ref="G281:H281" ca="1" si="583">IF($A281&gt;G$160,"",IF($A281=0,+G$304-G$192,(G379-OFFSET(G379,-1,0))/G295))</f>
        <v>3323.2004991268655</v>
      </c>
      <c r="H281" s="144">
        <f t="shared" ca="1" si="583"/>
        <v>3264.3351263608138</v>
      </c>
      <c r="I281" s="144">
        <f t="shared" ref="I281:L281" ca="1" si="584">IF($A281&gt;I$160,"",IF($A281=0,+I$304-I$192,(I379-OFFSET(I379,-1,0))/I295))</f>
        <v>3870.5191875000032</v>
      </c>
      <c r="J281" s="144">
        <f t="shared" ca="1" si="584"/>
        <v>3863.6648289473724</v>
      </c>
      <c r="K281" s="144">
        <f t="shared" ca="1" si="584"/>
        <v>3561.8875052268677</v>
      </c>
      <c r="L281" s="144">
        <f t="shared" ca="1" si="584"/>
        <v>4005.1569741016242</v>
      </c>
      <c r="M281" s="144">
        <f t="shared" ref="M281" ca="1" si="585">IF($A281&gt;M$160,"",IF($A281=0,+M$304-M$192,(M379-OFFSET(M379,-1,0))/M295))</f>
        <v>20764.829037489239</v>
      </c>
    </row>
    <row r="282" spans="1:13" ht="15" customHeight="1">
      <c r="A282" s="10">
        <f t="shared" si="554"/>
        <v>6</v>
      </c>
      <c r="B282" s="41">
        <f t="shared" ca="1" si="555"/>
        <v>4633.4325376070483</v>
      </c>
      <c r="C282" s="144">
        <f t="shared" ref="C282:D282" ca="1" si="586">IF($A282&gt;C$160,"",IF($A282=0,+C$304-C$192,(C380-OFFSET(C380,-1,0))/C296))</f>
        <v>4375.5704981913586</v>
      </c>
      <c r="D282" s="144">
        <f t="shared" ca="1" si="586"/>
        <v>4109.9162835969764</v>
      </c>
      <c r="E282" s="144">
        <f t="shared" ref="E282:F282" ca="1" si="587">IF($A282&gt;E$160,"",IF($A282=0,+E$304-E$192,(E380-OFFSET(E380,-1,0))/E296))</f>
        <v>3031.092565714056</v>
      </c>
      <c r="F282" s="144">
        <f t="shared" ca="1" si="587"/>
        <v>3269.4239442477628</v>
      </c>
      <c r="G282" s="144">
        <f t="shared" ref="G282:H282" ca="1" si="588">IF($A282&gt;G$160,"",IF($A282=0,+G$304-G$192,(G380-OFFSET(G380,-1,0))/G296))</f>
        <v>3234.9362938700369</v>
      </c>
      <c r="H282" s="144">
        <f t="shared" ca="1" si="588"/>
        <v>3231.9529219073056</v>
      </c>
      <c r="I282" s="144">
        <f t="shared" ref="I282:L282" ca="1" si="589">IF($A282&gt;I$160,"",IF($A282=0,+I$304-I$192,(I380-OFFSET(I380,-1,0))/I296))</f>
        <v>3738.9215351250004</v>
      </c>
      <c r="J282" s="144">
        <f t="shared" ca="1" si="589"/>
        <v>3529.4578212434253</v>
      </c>
      <c r="K282" s="144">
        <f t="shared" ca="1" si="589"/>
        <v>3250.7922505203583</v>
      </c>
      <c r="L282" s="144">
        <f t="shared" ca="1" si="589"/>
        <v>3651.1010975910453</v>
      </c>
      <c r="M282" s="144">
        <f t="shared" ref="M282" ca="1" si="590">IF($A282&gt;M$160,"",IF($A282=0,+M$304-M$192,(M380-OFFSET(M380,-1,0))/M296))</f>
        <v>18877.098429691083</v>
      </c>
    </row>
    <row r="283" spans="1:13" ht="15" customHeight="1">
      <c r="A283" s="10">
        <f t="shared" si="554"/>
        <v>7</v>
      </c>
      <c r="B283" s="41">
        <f t="shared" ca="1" si="555"/>
        <v>4251.6093022141431</v>
      </c>
      <c r="C283" s="144">
        <f t="shared" ref="C283:D283" ca="1" si="591">IF($A283&gt;C$160,"",IF($A283=0,+C$304-C$192,(C381-OFFSET(C381,-1,0))/C297))</f>
        <v>4029.4142543344497</v>
      </c>
      <c r="D283" s="144">
        <f t="shared" ca="1" si="591"/>
        <v>3911.2795816493744</v>
      </c>
      <c r="E283" s="144">
        <f t="shared" ref="E283:F283" ca="1" si="592">IF($A283&gt;E$160,"",IF($A283=0,+E$304-E$192,(E381-OFFSET(E381,-1,0))/E297))</f>
        <v>2907.2153977165808</v>
      </c>
      <c r="F283" s="144">
        <f t="shared" ca="1" si="592"/>
        <v>3155.9137409555901</v>
      </c>
      <c r="G283" s="144">
        <f t="shared" ref="G283:H283" ca="1" si="593">IF($A283&gt;G$160,"",IF($A283=0,+G$304-G$192,(G381-OFFSET(G381,-1,0))/G297))</f>
        <v>3126.5786465783531</v>
      </c>
      <c r="H283" s="144">
        <f t="shared" ca="1" si="593"/>
        <v>3185.8647300555531</v>
      </c>
      <c r="I283" s="144">
        <f t="shared" ref="I283:L283" ca="1" si="594">IF($A283&gt;I$160,"",IF($A283=0,+I$304-I$192,(I381-OFFSET(I381,-1,0))/I297))</f>
        <v>3570.8326278502536</v>
      </c>
      <c r="J283" s="144">
        <f t="shared" ca="1" si="594"/>
        <v>3132.6575114781035</v>
      </c>
      <c r="K283" s="144">
        <f t="shared" ca="1" si="594"/>
        <v>2881.6218704417111</v>
      </c>
      <c r="L283" s="144">
        <f t="shared" ca="1" si="594"/>
        <v>3214.4633700502832</v>
      </c>
      <c r="M283" s="144">
        <f t="shared" ref="M283" ca="1" si="595">IF($A283&gt;M$160,"",IF($A283=0,+M$304-M$192,(M381-OFFSET(M381,-1,0))/M297))</f>
        <v>16360.381241029319</v>
      </c>
    </row>
    <row r="284" spans="1:13" ht="15" customHeight="1">
      <c r="A284" s="10">
        <f t="shared" si="554"/>
        <v>8</v>
      </c>
      <c r="B284" s="41">
        <f t="shared" ca="1" si="555"/>
        <v>3821.215416392457</v>
      </c>
      <c r="C284" s="144">
        <f t="shared" ref="C284:D284" ca="1" si="596">IF($A284&gt;C$160,"",IF($A284=0,+C$304-C$192,(C382-OFFSET(C382,-1,0))/C298))</f>
        <v>3638.5610716640076</v>
      </c>
      <c r="D284" s="144">
        <f t="shared" ca="1" si="596"/>
        <v>3681.5206873413845</v>
      </c>
      <c r="E284" s="144">
        <f t="shared" ref="E284:F284" ca="1" si="597">IF($A284&gt;E$160,"",IF($A284=0,+E$304-E$192,(E382-OFFSET(E382,-1,0))/E298))</f>
        <v>2762.4495928423894</v>
      </c>
      <c r="F284" s="144">
        <f t="shared" ca="1" si="597"/>
        <v>3021.7475046073346</v>
      </c>
      <c r="G284" s="144">
        <f t="shared" ref="G284:H284" ca="1" si="598">IF($A284&gt;G$160,"",IF($A284=0,+G$304-G$192,(G382-OFFSET(G382,-1,0))/G298))</f>
        <v>2998.1560063015604</v>
      </c>
      <c r="H284" s="144">
        <f t="shared" ca="1" si="598"/>
        <v>3125.787779294662</v>
      </c>
      <c r="I284" s="144">
        <f t="shared" ref="I284:L284" ca="1" si="599">IF($A284&gt;I$160,"",IF($A284=0,+I$304-I$192,(I382-OFFSET(I382,-1,0))/I298))</f>
        <v>3366.4449698180665</v>
      </c>
      <c r="J284" s="144">
        <f t="shared" ca="1" si="599"/>
        <v>2677.8718405887894</v>
      </c>
      <c r="K284" s="144">
        <f t="shared" ca="1" si="599"/>
        <v>2458.7157315794675</v>
      </c>
      <c r="L284" s="144">
        <f t="shared" ca="1" si="599"/>
        <v>2701.2921511515938</v>
      </c>
      <c r="M284" s="144">
        <f t="shared" ref="M284" ca="1" si="600">IF($A284&gt;M$160,"",IF($A284=0,+M$304-M$192,(M382-OFFSET(M382,-1,0))/M298))</f>
        <v>13259.943463860187</v>
      </c>
    </row>
    <row r="285" spans="1:13" ht="15" customHeight="1">
      <c r="A285" s="10">
        <f t="shared" si="554"/>
        <v>9</v>
      </c>
      <c r="B285" s="41">
        <f t="shared" ca="1" si="555"/>
        <v>3345.8010385872039</v>
      </c>
      <c r="C285" s="144">
        <f t="shared" ref="C285:D285" ca="1" si="601">IF($A285&gt;C$160,"",IF($A285=0,+C$304-C$192,(C383-OFFSET(C383,-1,0))/C299))</f>
        <v>3206.0920985747944</v>
      </c>
      <c r="D285" s="144">
        <f t="shared" ca="1" si="601"/>
        <v>3421.5847255594272</v>
      </c>
      <c r="E285" s="144">
        <f t="shared" ref="E285:F285" ca="1" si="602">IF($A285&gt;E$160,"",IF($A285=0,+E$304-E$192,(E383-OFFSET(E383,-1,0))/E299))</f>
        <v>2597.2341265605764</v>
      </c>
      <c r="F285" s="144">
        <f t="shared" ca="1" si="602"/>
        <v>2867.1991962102138</v>
      </c>
      <c r="G285" s="144">
        <f t="shared" ref="G285:H285" ca="1" si="603">IF($A285&gt;G$160,"",IF($A285=0,+G$304-G$192,(G383-OFFSET(G383,-1,0))/G299))</f>
        <v>2849.9034255796719</v>
      </c>
      <c r="H285" s="144">
        <f t="shared" ca="1" si="603"/>
        <v>3051.5354209217567</v>
      </c>
      <c r="I285" s="144">
        <f t="shared" ref="I285:L285" ca="1" si="604">IF($A285&gt;I$160,"",IF($A285=0,+I$304-I$192,(I383-OFFSET(I383,-1,0))/I299))</f>
        <v>3126.5414703899733</v>
      </c>
      <c r="J285" s="144">
        <f t="shared" ca="1" si="604"/>
        <v>2171.4467659489233</v>
      </c>
      <c r="K285" s="144">
        <f t="shared" ca="1" si="604"/>
        <v>1988.0358963013809</v>
      </c>
      <c r="L285" s="144">
        <f t="shared" ca="1" si="604"/>
        <v>2120.5702274571318</v>
      </c>
      <c r="M285" s="144">
        <f t="shared" ref="M285" ca="1" si="605">IF($A285&gt;M$160,"",IF($A285=0,+M$304-M$192,(M383-OFFSET(M383,-1,0))/M299))</f>
        <v>9654.2319805305724</v>
      </c>
    </row>
    <row r="286" spans="1:13" ht="15" customHeight="1">
      <c r="A286" s="10">
        <f t="shared" si="554"/>
        <v>10</v>
      </c>
      <c r="B286" s="41">
        <f t="shared" ca="1" si="555"/>
        <v>2829.7821140003507</v>
      </c>
      <c r="C286" s="144">
        <f t="shared" ref="C286:D286" ca="1" si="606">IF($A286&gt;C$160,"",IF($A286=0,+C$304-C$192,(C384-OFFSET(C384,-1,0))/C300))</f>
        <v>2735.8652574504958</v>
      </c>
      <c r="D286" s="144">
        <f t="shared" ca="1" si="606"/>
        <v>3132.8187061462231</v>
      </c>
      <c r="E286" s="144">
        <f t="shared" ref="E286:F286" ca="1" si="607">IF($A286&gt;E$160,"",IF($A286=0,+E$304-E$192,(E384-OFFSET(E384,-1,0))/E300))</f>
        <v>2412.2533404355527</v>
      </c>
      <c r="F286" s="144">
        <f t="shared" ca="1" si="607"/>
        <v>2692.7649964623824</v>
      </c>
      <c r="G286" s="144">
        <f t="shared" ref="G286:H286" ca="1" si="608">IF($A286&gt;G$160,"",IF($A286=0,+G$304-G$192,(G384-OFFSET(G384,-1,0))/G300))</f>
        <v>2682.2678159098664</v>
      </c>
      <c r="H286" s="144">
        <f t="shared" ca="1" si="608"/>
        <v>2963.0227657818418</v>
      </c>
      <c r="I286" s="144">
        <f t="shared" ref="I286:L286" ca="1" si="609">IF($A286&gt;I$160,"",IF($A286=0,+I$304-I$192,(I384-OFFSET(I384,-1,0))/I300))</f>
        <v>2852.5093062205065</v>
      </c>
      <c r="J286" s="144">
        <f t="shared" ca="1" si="609"/>
        <v>1621.3469185751969</v>
      </c>
      <c r="K286" s="144">
        <f t="shared" ca="1" si="609"/>
        <v>1477.0532981039139</v>
      </c>
      <c r="L286" s="144">
        <f t="shared" ca="1" si="609"/>
        <v>1484.0136009968135</v>
      </c>
      <c r="M286" s="144">
        <f t="shared" ref="M286" ca="1" si="610">IF($A286&gt;M$160,"",IF($A286=0,+M$304-M$192,(M384-OFFSET(M384,-1,0))/M300))</f>
        <v>5652.563346924263</v>
      </c>
    </row>
    <row r="287" spans="1:13" ht="15" customHeight="1">
      <c r="C287" s="145"/>
      <c r="D287" s="145"/>
      <c r="E287" s="145"/>
      <c r="F287" s="145"/>
      <c r="G287" s="145"/>
      <c r="H287" s="145"/>
      <c r="I287" s="145"/>
      <c r="J287" s="145"/>
      <c r="K287" s="145"/>
      <c r="L287" s="145"/>
      <c r="M287" s="145"/>
    </row>
    <row r="288" spans="1:13" ht="15" customHeight="1">
      <c r="C288" s="145"/>
      <c r="D288" s="145"/>
      <c r="E288" s="145"/>
      <c r="F288" s="145"/>
      <c r="G288" s="145"/>
      <c r="H288" s="145"/>
      <c r="I288" s="145"/>
      <c r="J288" s="145"/>
      <c r="K288" s="145"/>
      <c r="L288" s="145"/>
      <c r="M288" s="145"/>
    </row>
    <row r="289" spans="1:13" ht="15" customHeight="1">
      <c r="A289" s="106" t="s">
        <v>509</v>
      </c>
      <c r="B289" s="94"/>
      <c r="C289" s="144"/>
      <c r="D289" s="144"/>
      <c r="E289" s="144"/>
      <c r="F289" s="144"/>
      <c r="G289" s="144"/>
      <c r="H289" s="144"/>
      <c r="I289" s="144"/>
      <c r="J289" s="144"/>
      <c r="K289" s="144"/>
      <c r="L289" s="144"/>
      <c r="M289" s="144"/>
    </row>
    <row r="290" spans="1:13" ht="15" customHeight="1">
      <c r="A290" s="10">
        <f t="shared" ref="A290:A300" si="611">A276</f>
        <v>0</v>
      </c>
      <c r="B290" s="95" t="e">
        <f t="shared" ref="B290:M300" ca="1" si="612">IF($A290&gt;B$160,"",IF($A290=0,#N/A,IF($A290=1,B$809,OFFSET(B290,-1,0))))</f>
        <v>#N/A</v>
      </c>
      <c r="C290" s="150" t="e">
        <f t="shared" ca="1" si="612"/>
        <v>#N/A</v>
      </c>
      <c r="D290" s="150" t="e">
        <f t="shared" ca="1" si="612"/>
        <v>#N/A</v>
      </c>
      <c r="E290" s="150" t="e">
        <f t="shared" ca="1" si="612"/>
        <v>#N/A</v>
      </c>
      <c r="F290" s="150" t="e">
        <f t="shared" ca="1" si="612"/>
        <v>#N/A</v>
      </c>
      <c r="G290" s="150" t="e">
        <f t="shared" ca="1" si="612"/>
        <v>#N/A</v>
      </c>
      <c r="H290" s="150" t="e">
        <f t="shared" ca="1" si="612"/>
        <v>#N/A</v>
      </c>
      <c r="I290" s="150" t="e">
        <f t="shared" ca="1" si="612"/>
        <v>#N/A</v>
      </c>
      <c r="J290" s="150" t="e">
        <f t="shared" ca="1" si="612"/>
        <v>#N/A</v>
      </c>
      <c r="K290" s="150" t="e">
        <f t="shared" ca="1" si="612"/>
        <v>#N/A</v>
      </c>
      <c r="L290" s="150" t="e">
        <f t="shared" ca="1" si="612"/>
        <v>#N/A</v>
      </c>
      <c r="M290" s="150" t="e">
        <f t="shared" ca="1" si="612"/>
        <v>#N/A</v>
      </c>
    </row>
    <row r="291" spans="1:13" ht="15" customHeight="1">
      <c r="A291" s="10">
        <f t="shared" si="611"/>
        <v>1</v>
      </c>
      <c r="B291" s="95">
        <f t="shared" ca="1" si="612"/>
        <v>2</v>
      </c>
      <c r="C291" s="150">
        <f t="shared" ca="1" si="612"/>
        <v>2</v>
      </c>
      <c r="D291" s="150">
        <f t="shared" ca="1" si="612"/>
        <v>2</v>
      </c>
      <c r="E291" s="150">
        <f t="shared" ca="1" si="612"/>
        <v>2.66</v>
      </c>
      <c r="F291" s="150">
        <f t="shared" ca="1" si="612"/>
        <v>2.4500000000000002</v>
      </c>
      <c r="G291" s="150">
        <f t="shared" ca="1" si="612"/>
        <v>2.4500000000000002</v>
      </c>
      <c r="H291" s="150">
        <f t="shared" ca="1" si="612"/>
        <v>2.4500000000000002</v>
      </c>
      <c r="I291" s="150">
        <f t="shared" ca="1" si="612"/>
        <v>2.66</v>
      </c>
      <c r="J291" s="150">
        <f t="shared" ca="1" si="612"/>
        <v>2.66</v>
      </c>
      <c r="K291" s="150">
        <f t="shared" ca="1" si="612"/>
        <v>2.81</v>
      </c>
      <c r="L291" s="150">
        <f t="shared" ca="1" si="612"/>
        <v>2.96</v>
      </c>
      <c r="M291" s="150">
        <f t="shared" ca="1" si="612"/>
        <v>0.78</v>
      </c>
    </row>
    <row r="292" spans="1:13" ht="15" customHeight="1">
      <c r="A292" s="10">
        <f t="shared" si="611"/>
        <v>2</v>
      </c>
      <c r="B292" s="95">
        <f t="shared" ca="1" si="612"/>
        <v>2</v>
      </c>
      <c r="C292" s="150">
        <f t="shared" ca="1" si="612"/>
        <v>2</v>
      </c>
      <c r="D292" s="150">
        <f t="shared" ca="1" si="612"/>
        <v>2</v>
      </c>
      <c r="E292" s="150">
        <f t="shared" ca="1" si="612"/>
        <v>2.66</v>
      </c>
      <c r="F292" s="150">
        <f t="shared" ca="1" si="612"/>
        <v>2.4500000000000002</v>
      </c>
      <c r="G292" s="150">
        <f t="shared" ca="1" si="612"/>
        <v>2.4500000000000002</v>
      </c>
      <c r="H292" s="150">
        <f t="shared" ca="1" si="612"/>
        <v>2.4500000000000002</v>
      </c>
      <c r="I292" s="150">
        <f t="shared" ca="1" si="612"/>
        <v>2.66</v>
      </c>
      <c r="J292" s="150">
        <f t="shared" ca="1" si="612"/>
        <v>2.66</v>
      </c>
      <c r="K292" s="150">
        <f t="shared" ca="1" si="612"/>
        <v>2.81</v>
      </c>
      <c r="L292" s="150">
        <f t="shared" ca="1" si="612"/>
        <v>2.96</v>
      </c>
      <c r="M292" s="150">
        <f t="shared" ca="1" si="612"/>
        <v>0.78</v>
      </c>
    </row>
    <row r="293" spans="1:13" ht="15" customHeight="1">
      <c r="A293" s="10">
        <f t="shared" si="611"/>
        <v>3</v>
      </c>
      <c r="B293" s="95">
        <f t="shared" ca="1" si="612"/>
        <v>2</v>
      </c>
      <c r="C293" s="150">
        <f t="shared" ca="1" si="612"/>
        <v>2</v>
      </c>
      <c r="D293" s="150">
        <f t="shared" ca="1" si="612"/>
        <v>2</v>
      </c>
      <c r="E293" s="150">
        <f t="shared" ca="1" si="612"/>
        <v>2.66</v>
      </c>
      <c r="F293" s="150">
        <f t="shared" ca="1" si="612"/>
        <v>2.4500000000000002</v>
      </c>
      <c r="G293" s="150">
        <f t="shared" ca="1" si="612"/>
        <v>2.4500000000000002</v>
      </c>
      <c r="H293" s="150">
        <f t="shared" ca="1" si="612"/>
        <v>2.4500000000000002</v>
      </c>
      <c r="I293" s="150">
        <f t="shared" ca="1" si="612"/>
        <v>2.66</v>
      </c>
      <c r="J293" s="150">
        <f t="shared" ca="1" si="612"/>
        <v>2.66</v>
      </c>
      <c r="K293" s="150">
        <f t="shared" ca="1" si="612"/>
        <v>2.81</v>
      </c>
      <c r="L293" s="150">
        <f t="shared" ca="1" si="612"/>
        <v>2.96</v>
      </c>
      <c r="M293" s="150">
        <f t="shared" ca="1" si="612"/>
        <v>0.78</v>
      </c>
    </row>
    <row r="294" spans="1:13" ht="15" customHeight="1">
      <c r="A294" s="10">
        <f t="shared" si="611"/>
        <v>4</v>
      </c>
      <c r="B294" s="95">
        <f t="shared" ca="1" si="612"/>
        <v>2</v>
      </c>
      <c r="C294" s="150">
        <f t="shared" ca="1" si="612"/>
        <v>2</v>
      </c>
      <c r="D294" s="150">
        <f t="shared" ca="1" si="612"/>
        <v>2</v>
      </c>
      <c r="E294" s="150">
        <f t="shared" ca="1" si="612"/>
        <v>2.66</v>
      </c>
      <c r="F294" s="150">
        <f t="shared" ca="1" si="612"/>
        <v>2.4500000000000002</v>
      </c>
      <c r="G294" s="150">
        <f t="shared" ca="1" si="612"/>
        <v>2.4500000000000002</v>
      </c>
      <c r="H294" s="150">
        <f t="shared" ca="1" si="612"/>
        <v>2.4500000000000002</v>
      </c>
      <c r="I294" s="150">
        <f t="shared" ca="1" si="612"/>
        <v>2.66</v>
      </c>
      <c r="J294" s="150">
        <f t="shared" ca="1" si="612"/>
        <v>2.66</v>
      </c>
      <c r="K294" s="150">
        <f t="shared" ca="1" si="612"/>
        <v>2.81</v>
      </c>
      <c r="L294" s="150">
        <f t="shared" ca="1" si="612"/>
        <v>2.96</v>
      </c>
      <c r="M294" s="150">
        <f t="shared" ca="1" si="612"/>
        <v>0.78</v>
      </c>
    </row>
    <row r="295" spans="1:13" ht="15" customHeight="1">
      <c r="A295" s="10">
        <f t="shared" si="611"/>
        <v>5</v>
      </c>
      <c r="B295" s="95">
        <f t="shared" ca="1" si="612"/>
        <v>2</v>
      </c>
      <c r="C295" s="150">
        <f t="shared" ca="1" si="612"/>
        <v>2</v>
      </c>
      <c r="D295" s="150">
        <f t="shared" ca="1" si="612"/>
        <v>2</v>
      </c>
      <c r="E295" s="150">
        <f t="shared" ca="1" si="612"/>
        <v>2.66</v>
      </c>
      <c r="F295" s="150">
        <f t="shared" ca="1" si="612"/>
        <v>2.4500000000000002</v>
      </c>
      <c r="G295" s="150">
        <f t="shared" ca="1" si="612"/>
        <v>2.4500000000000002</v>
      </c>
      <c r="H295" s="150">
        <f t="shared" ca="1" si="612"/>
        <v>2.4500000000000002</v>
      </c>
      <c r="I295" s="150">
        <f t="shared" ca="1" si="612"/>
        <v>2.66</v>
      </c>
      <c r="J295" s="150">
        <f t="shared" ca="1" si="612"/>
        <v>2.66</v>
      </c>
      <c r="K295" s="150">
        <f t="shared" ca="1" si="612"/>
        <v>2.81</v>
      </c>
      <c r="L295" s="150">
        <f t="shared" ca="1" si="612"/>
        <v>2.96</v>
      </c>
      <c r="M295" s="150">
        <f t="shared" ca="1" si="612"/>
        <v>0.78</v>
      </c>
    </row>
    <row r="296" spans="1:13" ht="15" customHeight="1">
      <c r="A296" s="10">
        <f t="shared" si="611"/>
        <v>6</v>
      </c>
      <c r="B296" s="95">
        <f t="shared" ca="1" si="612"/>
        <v>2</v>
      </c>
      <c r="C296" s="150">
        <f t="shared" ca="1" si="612"/>
        <v>2</v>
      </c>
      <c r="D296" s="150">
        <f t="shared" ca="1" si="612"/>
        <v>2</v>
      </c>
      <c r="E296" s="150">
        <f t="shared" ca="1" si="612"/>
        <v>2.66</v>
      </c>
      <c r="F296" s="150">
        <f t="shared" ca="1" si="612"/>
        <v>2.4500000000000002</v>
      </c>
      <c r="G296" s="150">
        <f t="shared" ca="1" si="612"/>
        <v>2.4500000000000002</v>
      </c>
      <c r="H296" s="150">
        <f t="shared" ca="1" si="612"/>
        <v>2.4500000000000002</v>
      </c>
      <c r="I296" s="150">
        <f t="shared" ca="1" si="612"/>
        <v>2.66</v>
      </c>
      <c r="J296" s="150">
        <f t="shared" ca="1" si="612"/>
        <v>2.66</v>
      </c>
      <c r="K296" s="150">
        <f t="shared" ca="1" si="612"/>
        <v>2.81</v>
      </c>
      <c r="L296" s="150">
        <f t="shared" ca="1" si="612"/>
        <v>2.96</v>
      </c>
      <c r="M296" s="150">
        <f t="shared" ca="1" si="612"/>
        <v>0.78</v>
      </c>
    </row>
    <row r="297" spans="1:13" ht="15" customHeight="1">
      <c r="A297" s="10">
        <f t="shared" si="611"/>
        <v>7</v>
      </c>
      <c r="B297" s="95">
        <f t="shared" ca="1" si="612"/>
        <v>2</v>
      </c>
      <c r="C297" s="150">
        <f t="shared" ca="1" si="612"/>
        <v>2</v>
      </c>
      <c r="D297" s="150">
        <f t="shared" ca="1" si="612"/>
        <v>2</v>
      </c>
      <c r="E297" s="150">
        <f t="shared" ca="1" si="612"/>
        <v>2.66</v>
      </c>
      <c r="F297" s="150">
        <f t="shared" ca="1" si="612"/>
        <v>2.4500000000000002</v>
      </c>
      <c r="G297" s="150">
        <f t="shared" ca="1" si="612"/>
        <v>2.4500000000000002</v>
      </c>
      <c r="H297" s="150">
        <f t="shared" ca="1" si="612"/>
        <v>2.4500000000000002</v>
      </c>
      <c r="I297" s="150">
        <f t="shared" ca="1" si="612"/>
        <v>2.66</v>
      </c>
      <c r="J297" s="150">
        <f t="shared" ca="1" si="612"/>
        <v>2.66</v>
      </c>
      <c r="K297" s="150">
        <f t="shared" ca="1" si="612"/>
        <v>2.81</v>
      </c>
      <c r="L297" s="150">
        <f t="shared" ca="1" si="612"/>
        <v>2.96</v>
      </c>
      <c r="M297" s="150">
        <f t="shared" ca="1" si="612"/>
        <v>0.78</v>
      </c>
    </row>
    <row r="298" spans="1:13" ht="15" customHeight="1">
      <c r="A298" s="10">
        <f t="shared" si="611"/>
        <v>8</v>
      </c>
      <c r="B298" s="95">
        <f t="shared" ca="1" si="612"/>
        <v>2</v>
      </c>
      <c r="C298" s="150">
        <f t="shared" ca="1" si="612"/>
        <v>2</v>
      </c>
      <c r="D298" s="150">
        <f t="shared" ca="1" si="612"/>
        <v>2</v>
      </c>
      <c r="E298" s="150">
        <f t="shared" ca="1" si="612"/>
        <v>2.66</v>
      </c>
      <c r="F298" s="150">
        <f t="shared" ca="1" si="612"/>
        <v>2.4500000000000002</v>
      </c>
      <c r="G298" s="150">
        <f t="shared" ca="1" si="612"/>
        <v>2.4500000000000002</v>
      </c>
      <c r="H298" s="150">
        <f t="shared" ca="1" si="612"/>
        <v>2.4500000000000002</v>
      </c>
      <c r="I298" s="150">
        <f t="shared" ca="1" si="612"/>
        <v>2.66</v>
      </c>
      <c r="J298" s="150">
        <f t="shared" ca="1" si="612"/>
        <v>2.66</v>
      </c>
      <c r="K298" s="150">
        <f t="shared" ca="1" si="612"/>
        <v>2.81</v>
      </c>
      <c r="L298" s="150">
        <f t="shared" ca="1" si="612"/>
        <v>2.96</v>
      </c>
      <c r="M298" s="150">
        <f t="shared" ca="1" si="612"/>
        <v>0.78</v>
      </c>
    </row>
    <row r="299" spans="1:13" ht="15" customHeight="1">
      <c r="A299" s="10">
        <f t="shared" si="611"/>
        <v>9</v>
      </c>
      <c r="B299" s="95">
        <f t="shared" ca="1" si="612"/>
        <v>2</v>
      </c>
      <c r="C299" s="150">
        <f t="shared" ca="1" si="612"/>
        <v>2</v>
      </c>
      <c r="D299" s="150">
        <f t="shared" ca="1" si="612"/>
        <v>2</v>
      </c>
      <c r="E299" s="150">
        <f t="shared" ca="1" si="612"/>
        <v>2.66</v>
      </c>
      <c r="F299" s="150">
        <f t="shared" ca="1" si="612"/>
        <v>2.4500000000000002</v>
      </c>
      <c r="G299" s="150">
        <f t="shared" ca="1" si="612"/>
        <v>2.4500000000000002</v>
      </c>
      <c r="H299" s="150">
        <f t="shared" ca="1" si="612"/>
        <v>2.4500000000000002</v>
      </c>
      <c r="I299" s="150">
        <f t="shared" ca="1" si="612"/>
        <v>2.66</v>
      </c>
      <c r="J299" s="150">
        <f t="shared" ca="1" si="612"/>
        <v>2.66</v>
      </c>
      <c r="K299" s="150">
        <f t="shared" ca="1" si="612"/>
        <v>2.81</v>
      </c>
      <c r="L299" s="150">
        <f t="shared" ca="1" si="612"/>
        <v>2.96</v>
      </c>
      <c r="M299" s="150">
        <f t="shared" ca="1" si="612"/>
        <v>0.78</v>
      </c>
    </row>
    <row r="300" spans="1:13" ht="15" customHeight="1">
      <c r="A300" s="10">
        <f t="shared" si="611"/>
        <v>10</v>
      </c>
      <c r="B300" s="95">
        <f t="shared" ca="1" si="612"/>
        <v>2</v>
      </c>
      <c r="C300" s="150">
        <f t="shared" ca="1" si="612"/>
        <v>2</v>
      </c>
      <c r="D300" s="150">
        <f t="shared" ca="1" si="612"/>
        <v>2</v>
      </c>
      <c r="E300" s="150">
        <f t="shared" ca="1" si="612"/>
        <v>2.66</v>
      </c>
      <c r="F300" s="150">
        <f t="shared" ca="1" si="612"/>
        <v>2.4500000000000002</v>
      </c>
      <c r="G300" s="150">
        <f t="shared" ca="1" si="612"/>
        <v>2.4500000000000002</v>
      </c>
      <c r="H300" s="150">
        <f t="shared" ca="1" si="612"/>
        <v>2.4500000000000002</v>
      </c>
      <c r="I300" s="150">
        <f t="shared" ca="1" si="612"/>
        <v>2.66</v>
      </c>
      <c r="J300" s="150">
        <f t="shared" ca="1" si="612"/>
        <v>2.66</v>
      </c>
      <c r="K300" s="150">
        <f t="shared" ca="1" si="612"/>
        <v>2.81</v>
      </c>
      <c r="L300" s="150">
        <f t="shared" ca="1" si="612"/>
        <v>2.96</v>
      </c>
      <c r="M300" s="150">
        <f t="shared" ca="1" si="612"/>
        <v>0.78</v>
      </c>
    </row>
    <row r="301" spans="1:13" ht="15" customHeight="1">
      <c r="C301" s="145"/>
      <c r="D301" s="145"/>
      <c r="E301" s="145"/>
      <c r="F301" s="145"/>
      <c r="G301" s="145"/>
      <c r="H301" s="145"/>
      <c r="I301" s="145"/>
      <c r="J301" s="145"/>
      <c r="K301" s="145"/>
      <c r="L301" s="145"/>
      <c r="M301" s="145"/>
    </row>
    <row r="302" spans="1:13" ht="15" customHeight="1">
      <c r="C302" s="145"/>
      <c r="D302" s="145"/>
      <c r="E302" s="145"/>
      <c r="F302" s="145"/>
      <c r="G302" s="145"/>
      <c r="H302" s="145"/>
      <c r="I302" s="145"/>
      <c r="J302" s="145"/>
      <c r="K302" s="145"/>
      <c r="L302" s="145"/>
      <c r="M302" s="145"/>
    </row>
    <row r="303" spans="1:13" ht="15" customHeight="1">
      <c r="A303" s="106" t="s">
        <v>399</v>
      </c>
      <c r="B303" s="94"/>
      <c r="C303" s="144"/>
      <c r="D303" s="144"/>
      <c r="E303" s="144"/>
      <c r="F303" s="144"/>
      <c r="G303" s="144"/>
      <c r="H303" s="144"/>
      <c r="I303" s="144"/>
      <c r="J303" s="144"/>
      <c r="K303" s="144"/>
      <c r="L303" s="144"/>
      <c r="M303" s="144"/>
    </row>
    <row r="304" spans="1:13" ht="15" customHeight="1">
      <c r="A304" s="10">
        <f t="shared" ref="A304:A314" si="613">A290</f>
        <v>0</v>
      </c>
      <c r="B304" s="41">
        <f t="shared" ref="B304:B314" ca="1" si="614">IF($A304&gt;B$160,"",IF($A304=0,IF(B$346&gt;0,B$346*(1-B$318),B$346),IF(B346&gt;0,IF(B346&lt;OFFSET(B332,-1,0),B346,B346-(B346-OFFSET(B332,-1,0))*B318),B346)))</f>
        <v>50644.898104646651</v>
      </c>
      <c r="C304" s="144">
        <f t="shared" ref="C304:D304" ca="1" si="615">IF($A304&gt;C$160,"",IF($A304=0,IF(C$346&gt;0,C$346*(1-C$318),C$346),IF(C346&gt;0,IF(C346&lt;OFFSET(C332,-1,0),C346,C346-(C346-OFFSET(C332,-1,0))*C318),C346)))</f>
        <v>47175.51838509657</v>
      </c>
      <c r="D304" s="144">
        <f t="shared" ca="1" si="615"/>
        <v>42084.889121103304</v>
      </c>
      <c r="E304" s="144">
        <f t="shared" ref="E304:F304" ca="1" si="616">IF($A304&gt;E$160,"",IF($A304=0,IF(E$346&gt;0,E$346*(1-E$318),E$346),IF(E346&gt;0,IF(E346&lt;OFFSET(E332,-1,0),E346,E346-(E346-OFFSET(E332,-1,0))*E318),E346)))</f>
        <v>40827.201880171539</v>
      </c>
      <c r="F304" s="144">
        <f t="shared" ca="1" si="616"/>
        <v>40025.278835589001</v>
      </c>
      <c r="G304" s="144">
        <f t="shared" ref="G304:H304" ca="1" si="617">IF($A304&gt;G$160,"",IF($A304=0,IF(G$346&gt;0,G$346*(1-G$318),G$346),IF(G346&gt;0,IF(G346&lt;OFFSET(G332,-1,0),G346,G346-(G346-OFFSET(G332,-1,0))*G318),G346)))</f>
        <v>38997.61952375406</v>
      </c>
      <c r="H304" s="144">
        <f t="shared" ca="1" si="617"/>
        <v>38875.506646187736</v>
      </c>
      <c r="I304" s="144">
        <f t="shared" ref="I304:L304" ca="1" si="618">IF($A304&gt;I$160,"",IF($A304=0,IF(I$346&gt;0,I$346*(1-I$318),I$346),IF(I346&gt;0,IF(I346&lt;OFFSET(I332,-1,0),I346,I346-(I346-OFFSET(I332,-1,0))*I318),I346)))</f>
        <v>39075.707650440927</v>
      </c>
      <c r="J304" s="144">
        <f t="shared" ca="1" si="618"/>
        <v>40146.259236972961</v>
      </c>
      <c r="K304" s="144">
        <f t="shared" ca="1" si="618"/>
        <v>41741.339345399589</v>
      </c>
      <c r="L304" s="144">
        <f t="shared" ca="1" si="618"/>
        <v>41828.339972911832</v>
      </c>
      <c r="M304" s="144">
        <f t="shared" ref="M304" ca="1" si="619">IF($A304&gt;M$160,"",IF($A304=0,IF(M$346&gt;0,M$346*(1-M$318),M$346),IF(M346&gt;0,IF(M346&lt;OFFSET(M332,-1,0),M346,M346-(M346-OFFSET(M332,-1,0))*M318),M346)))</f>
        <v>39947.582396291626</v>
      </c>
    </row>
    <row r="305" spans="1:13" ht="15" customHeight="1">
      <c r="A305" s="10">
        <f t="shared" si="613"/>
        <v>1</v>
      </c>
      <c r="B305" s="41">
        <f t="shared" ca="1" si="614"/>
        <v>51435.632071327404</v>
      </c>
      <c r="C305" s="144">
        <f t="shared" ref="C305:D305" ca="1" si="620">IF($A305&gt;C$160,"",IF($A305=0,IF(C$346&gt;0,C$346*(1-C$318),C$346),IF(C347&gt;0,IF(C347&lt;OFFSET(C333,-1,0),C347,C347-(C347-OFFSET(C333,-1,0))*C319),C347)))</f>
        <v>47991.109716969397</v>
      </c>
      <c r="D305" s="144">
        <f t="shared" ca="1" si="620"/>
        <v>42899.201762157434</v>
      </c>
      <c r="E305" s="144">
        <f t="shared" ref="E305:F305" ca="1" si="621">IF($A305&gt;E$160,"",IF($A305=0,IF(E$346&gt;0,E$346*(1-E$318),E$346),IF(E347&gt;0,IF(E347&lt;OFFSET(E333,-1,0),E347,E347-(E347-OFFSET(E333,-1,0))*E319),E347)))</f>
        <v>41632.041665628829</v>
      </c>
      <c r="F305" s="144">
        <f t="shared" ca="1" si="621"/>
        <v>40845.539789111303</v>
      </c>
      <c r="G305" s="144">
        <f t="shared" ref="G305:H305" ca="1" si="622">IF($A305&gt;G$160,"",IF($A305=0,IF(G$346&gt;0,G$346*(1-G$318),G$346),IF(G347&gt;0,IF(G347&lt;OFFSET(G333,-1,0),G347,G347-(G347-OFFSET(G333,-1,0))*G319),G347)))</f>
        <v>39841.034905686734</v>
      </c>
      <c r="H305" s="144">
        <f t="shared" ca="1" si="622"/>
        <v>39669.117130831728</v>
      </c>
      <c r="I305" s="144">
        <f t="shared" ref="I305:L305" ca="1" si="623">IF($A305&gt;I$160,"",IF($A305=0,IF(I$346&gt;0,I$346*(1-I$318),I$346),IF(I347&gt;0,IF(I347&lt;OFFSET(I333,-1,0),I347,I347-(I347-OFFSET(I333,-1,0))*I319),I347)))</f>
        <v>40207.894171409163</v>
      </c>
      <c r="J305" s="144">
        <f t="shared" ca="1" si="623"/>
        <v>41222.616280939452</v>
      </c>
      <c r="K305" s="144">
        <f t="shared" ca="1" si="623"/>
        <v>42644.786787248027</v>
      </c>
      <c r="L305" s="144">
        <f t="shared" ca="1" si="623"/>
        <v>43628.986400962036</v>
      </c>
      <c r="M305" s="144">
        <f t="shared" ref="M305" ca="1" si="624">IF($A305&gt;M$160,"",IF($A305=0,IF(M$346&gt;0,M$346*(1-M$318),M$346),IF(M347&gt;0,IF(M347&lt;OFFSET(M333,-1,0),M347,M347-(M347-OFFSET(M333,-1,0))*M319),M347)))</f>
        <v>43013.842764888919</v>
      </c>
    </row>
    <row r="306" spans="1:13" ht="15" customHeight="1">
      <c r="A306" s="10">
        <f t="shared" si="613"/>
        <v>2</v>
      </c>
      <c r="B306" s="41">
        <f t="shared" ca="1" si="614"/>
        <v>52208.592918375201</v>
      </c>
      <c r="C306" s="144">
        <f t="shared" ref="C306:D306" ca="1" si="625">IF($A306&gt;C$160,"",IF($A306=0,IF(C$346&gt;0,C$346*(1-C$318),C$346),IF(C348&gt;0,IF(C348&lt;OFFSET(C334,-1,0),C348,C348-(C348-OFFSET(C334,-1,0))*C320),C348)))</f>
        <v>48796.467525975888</v>
      </c>
      <c r="D306" s="144">
        <f t="shared" ca="1" si="625"/>
        <v>43711.323591902139</v>
      </c>
      <c r="E306" s="144">
        <f t="shared" ref="E306:F306" ca="1" si="626">IF($A306&gt;E$160,"",IF($A306=0,IF(E$346&gt;0,E$346*(1-E$318),E$346),IF(E348&gt;0,IF(E348&lt;OFFSET(E334,-1,0),E348,E348-(E348-OFFSET(E334,-1,0))*E320),E348)))</f>
        <v>42435.945110914421</v>
      </c>
      <c r="F306" s="144">
        <f t="shared" ca="1" si="626"/>
        <v>41667.381172778449</v>
      </c>
      <c r="G306" s="144">
        <f t="shared" ref="G306:H306" ca="1" si="627">IF($A306&gt;G$160,"",IF($A306=0,IF(G$346&gt;0,G$346*(1-G$318),G$346),IF(G348&gt;0,IF(G348&lt;OFFSET(G334,-1,0),G348,G348-(G348-OFFSET(G334,-1,0))*G320),G348)))</f>
        <v>40689.527326936019</v>
      </c>
      <c r="H306" s="144">
        <f t="shared" ca="1" si="627"/>
        <v>40464.015643613326</v>
      </c>
      <c r="I306" s="144">
        <f t="shared" ref="I306:L306" ca="1" si="628">IF($A306&gt;I$160,"",IF($A306=0,IF(I$346&gt;0,I$346*(1-I$318),I$346),IF(I348&gt;0,IF(I348&lt;OFFSET(I334,-1,0),I348,I348-(I348-OFFSET(I334,-1,0))*I320),I348)))</f>
        <v>41355.610075348108</v>
      </c>
      <c r="J306" s="144">
        <f t="shared" ca="1" si="628"/>
        <v>42306.243381210159</v>
      </c>
      <c r="K306" s="144">
        <f t="shared" ca="1" si="628"/>
        <v>43534.225624917795</v>
      </c>
      <c r="L306" s="144">
        <f t="shared" ca="1" si="628"/>
        <v>45495.12837647579</v>
      </c>
      <c r="M306" s="144">
        <f t="shared" ref="M306" ca="1" si="629">IF($A306&gt;M$160,"",IF($A306=0,IF(M$346&gt;0,M$346*(1-M$318),M$346),IF(M348&gt;0,IF(M348&lt;OFFSET(M334,-1,0),M348,M348-(M348-OFFSET(M334,-1,0))*M320),M348)))</f>
        <v>46315.040265125506</v>
      </c>
    </row>
    <row r="307" spans="1:13" ht="15" customHeight="1">
      <c r="A307" s="10">
        <f t="shared" si="613"/>
        <v>3</v>
      </c>
      <c r="B307" s="41">
        <f t="shared" ca="1" si="614"/>
        <v>52961.0936218727</v>
      </c>
      <c r="C307" s="144">
        <f t="shared" ref="C307:D307" ca="1" si="630">IF($A307&gt;C$160,"",IF($A307=0,IF(C$346&gt;0,C$346*(1-C$318),C$346),IF(C349&gt;0,IF(C349&lt;OFFSET(C335,-1,0),C349,C349-(C349-OFFSET(C335,-1,0))*C321),C349)))</f>
        <v>49589.468184155747</v>
      </c>
      <c r="D307" s="144">
        <f t="shared" ca="1" si="630"/>
        <v>44519.776445206953</v>
      </c>
      <c r="E307" s="144">
        <f t="shared" ref="E307:F307" ca="1" si="631">IF($A307&gt;E$160,"",IF($A307=0,IF(E$346&gt;0,E$346*(1-E$318),E$346),IF(E349&gt;0,IF(E349&lt;OFFSET(E335,-1,0),E349,E349-(E349-OFFSET(E335,-1,0))*E321),E349)))</f>
        <v>43237.54956515786</v>
      </c>
      <c r="F307" s="144">
        <f t="shared" ca="1" si="631"/>
        <v>42489.617003476385</v>
      </c>
      <c r="G307" s="144">
        <f t="shared" ref="G307:H307" ca="1" si="632">IF($A307&gt;G$160,"",IF($A307=0,IF(G$346&gt;0,G$346*(1-G$318),G$346),IF(G349&gt;0,IF(G349&lt;OFFSET(G335,-1,0),G349,G349-(G349-OFFSET(G335,-1,0))*G321),G349)))</f>
        <v>41542.153486036143</v>
      </c>
      <c r="H307" s="144">
        <f t="shared" ca="1" si="632"/>
        <v>41259.03545000813</v>
      </c>
      <c r="I307" s="144">
        <f t="shared" ref="I307:L307" ca="1" si="633">IF($A307&gt;I$160,"",IF($A307=0,IF(I$346&gt;0,I$346*(1-I$318),I$346),IF(I349&gt;0,IF(I349&lt;OFFSET(I335,-1,0),I349,I349-(I349-OFFSET(I335,-1,0))*I321),I349)))</f>
        <v>42517.577834252428</v>
      </c>
      <c r="J307" s="144">
        <f t="shared" ca="1" si="633"/>
        <v>43395.176650805588</v>
      </c>
      <c r="K307" s="144">
        <f t="shared" ca="1" si="633"/>
        <v>44405.99637938643</v>
      </c>
      <c r="L307" s="144">
        <f t="shared" ca="1" si="633"/>
        <v>47428.143038007736</v>
      </c>
      <c r="M307" s="144">
        <f t="shared" ref="M307" ca="1" si="634">IF($A307&gt;M$160,"",IF($A307=0,IF(M$346&gt;0,M$346*(1-M$318),M$346),IF(M349&gt;0,IF(M349&lt;OFFSET(M335,-1,0),M349,M349-(M349-OFFSET(M335,-1,0))*M321),M349)))</f>
        <v>49869.140771704646</v>
      </c>
    </row>
    <row r="308" spans="1:13" ht="15" customHeight="1">
      <c r="A308" s="10">
        <f t="shared" si="613"/>
        <v>4</v>
      </c>
      <c r="B308" s="41">
        <f t="shared" ca="1" si="614"/>
        <v>53690.2606329806</v>
      </c>
      <c r="C308" s="144">
        <f t="shared" ref="C308:D308" ca="1" si="635">IF($A308&gt;C$160,"",IF($A308=0,IF(C$346&gt;0,C$346*(1-C$318),C$346),IF(C350&gt;0,IF(C350&lt;OFFSET(C336,-1,0),C350,C350-(C350-OFFSET(C336,-1,0))*C322),C350)))</f>
        <v>50367.834546948448</v>
      </c>
      <c r="D308" s="144">
        <f t="shared" ca="1" si="635"/>
        <v>45322.967409029123</v>
      </c>
      <c r="E308" s="144">
        <f t="shared" ref="E308:F308" ca="1" si="636">IF($A308&gt;E$160,"",IF($A308=0,IF(E$346&gt;0,E$346*(1-E$318),E$346),IF(E350&gt;0,IF(E350&lt;OFFSET(E336,-1,0),E350,E350-(E350-OFFSET(E336,-1,0))*E322),E350)))</f>
        <v>44035.384863563304</v>
      </c>
      <c r="F308" s="144">
        <f t="shared" ca="1" si="636"/>
        <v>43310.96389075373</v>
      </c>
      <c r="G308" s="144">
        <f t="shared" ref="G308:H308" ca="1" si="637">IF($A308&gt;G$160,"",IF($A308=0,IF(G$346&gt;0,G$346*(1-G$318),G$346),IF(G350&gt;0,IF(G350&lt;OFFSET(G336,-1,0),G350,G350-(G350-OFFSET(G336,-1,0))*G322),G350)))</f>
        <v>42397.886494141188</v>
      </c>
      <c r="H308" s="144">
        <f t="shared" ca="1" si="637"/>
        <v>42052.914415884727</v>
      </c>
      <c r="I308" s="144">
        <f t="shared" ref="I308:L308" ca="1" si="638">IF($A308&gt;I$160,"",IF($A308=0,IF(I$346&gt;0,I$346*(1-I$318),I$346),IF(I350&gt;0,IF(I350&lt;OFFSET(I336,-1,0),I350,I350-(I350-OFFSET(I336,-1,0))*I322),I350)))</f>
        <v>43692.35334385882</v>
      </c>
      <c r="J308" s="144">
        <f t="shared" ca="1" si="638"/>
        <v>44487.237638907529</v>
      </c>
      <c r="K308" s="144">
        <f t="shared" ca="1" si="638"/>
        <v>45256.108645239634</v>
      </c>
      <c r="L308" s="144">
        <f t="shared" ca="1" si="638"/>
        <v>49429.336996768194</v>
      </c>
      <c r="M308" s="144">
        <f t="shared" ref="M308" ca="1" si="639">IF($A308&gt;M$160,"",IF($A308=0,IF(M$346&gt;0,M$346*(1-M$318),M$346),IF(M350&gt;0,IF(M350&lt;OFFSET(M336,-1,0),M350,M350-(M350-OFFSET(M336,-1,0))*M322),M350)))</f>
        <v>53695.481101639656</v>
      </c>
    </row>
    <row r="309" spans="1:13" ht="15" customHeight="1">
      <c r="A309" s="10">
        <f t="shared" si="613"/>
        <v>5</v>
      </c>
      <c r="B309" s="41">
        <f t="shared" ca="1" si="614"/>
        <v>54393.023255182125</v>
      </c>
      <c r="C309" s="144">
        <f t="shared" ref="C309:D309" ca="1" si="640">IF($A309&gt;C$160,"",IF($A309=0,IF(C$346&gt;0,C$346*(1-C$318),C$346),IF(C351&gt;0,IF(C351&lt;OFFSET(C337,-1,0),C351,C351-(C351-OFFSET(C337,-1,0))*C323),C351)))</f>
        <v>51129.127069669907</v>
      </c>
      <c r="D309" s="144">
        <f t="shared" ca="1" si="640"/>
        <v>46119.182007644726</v>
      </c>
      <c r="E309" s="144">
        <f t="shared" ref="E309:F309" ca="1" si="641">IF($A309&gt;E$160,"",IF($A309=0,IF(E$346&gt;0,E$346*(1-E$318),E$346),IF(E351&gt;0,IF(E351&lt;OFFSET(E337,-1,0),E351,E351-(E351-OFFSET(E337,-1,0))*E323),E351)))</f>
        <v>44827.866906536932</v>
      </c>
      <c r="F309" s="144">
        <f t="shared" ca="1" si="641"/>
        <v>44130.035141807675</v>
      </c>
      <c r="G309" s="144">
        <f t="shared" ref="G309:H309" ca="1" si="642">IF($A309&gt;G$160,"",IF($A309=0,IF(G$346&gt;0,G$346*(1-G$318),G$346),IF(G351&gt;0,IF(G351&lt;OFFSET(G337,-1,0),G351,G351-(G351-OFFSET(G337,-1,0))*G323),G351)))</f>
        <v>43255.610697316974</v>
      </c>
      <c r="H309" s="144">
        <f t="shared" ca="1" si="642"/>
        <v>42844.289242311454</v>
      </c>
      <c r="I309" s="144">
        <f t="shared" ref="I309:L309" ca="1" si="643">IF($A309&gt;I$160,"",IF($A309=0,IF(I$346&gt;0,I$346*(1-I$318),I$346),IF(I351&gt;0,IF(I351&lt;OFFSET(I337,-1,0),I351,I351-(I351-OFFSET(I337,-1,0))*I323),I351)))</f>
        <v>44878.312459840199</v>
      </c>
      <c r="J309" s="144">
        <f t="shared" ca="1" si="643"/>
        <v>45580.016784192652</v>
      </c>
      <c r="K309" s="144">
        <f t="shared" ca="1" si="643"/>
        <v>46080.217146729679</v>
      </c>
      <c r="L309" s="144">
        <f t="shared" ca="1" si="643"/>
        <v>51499.932915643076</v>
      </c>
      <c r="M309" s="144">
        <f t="shared" ref="M309" ca="1" si="644">IF($A309&gt;M$160,"",IF($A309=0,IF(M$346&gt;0,M$346*(1-M$318),M$346),IF(M351&gt;0,IF(M351&lt;OFFSET(M337,-1,0),M351,M351-(M351-OFFSET(M337,-1,0))*M323),M351)))</f>
        <v>57814.873383425351</v>
      </c>
    </row>
    <row r="310" spans="1:13" ht="15" customHeight="1">
      <c r="A310" s="10">
        <f t="shared" si="613"/>
        <v>6</v>
      </c>
      <c r="B310" s="41">
        <f t="shared" ca="1" si="614"/>
        <v>53484.325862466656</v>
      </c>
      <c r="C310" s="144">
        <f t="shared" ref="C310:D310" ca="1" si="645">IF($A310&gt;C$160,"",IF($A310=0,IF(C$346&gt;0,C$346*(1-C$318),C$346),IF(C352&gt;0,IF(C352&lt;OFFSET(C338,-1,0),C352,C352-(C352-OFFSET(C338,-1,0))*C324),C352)))</f>
        <v>50296.451203965844</v>
      </c>
      <c r="D310" s="144">
        <f t="shared" ca="1" si="645"/>
        <v>45526.713465035413</v>
      </c>
      <c r="E310" s="144">
        <f t="shared" ref="E310:F310" ca="1" si="646">IF($A310&gt;E$160,"",IF($A310=0,IF(E$346&gt;0,E$346*(1-E$318),E$346),IF(E352&gt;0,IF(E352&lt;OFFSET(E338,-1,0),E352,E352-(E352-OFFSET(E338,-1,0))*E324),E352)))</f>
        <v>44036.774814063232</v>
      </c>
      <c r="F310" s="144">
        <f t="shared" ca="1" si="646"/>
        <v>43390.11283638062</v>
      </c>
      <c r="G310" s="144">
        <f t="shared" ref="G310:H310" ca="1" si="647">IF($A310&gt;G$160,"",IF($A310=0,IF(G$346&gt;0,G$346*(1-G$318),G$346),IF(G352&gt;0,IF(G352&lt;OFFSET(G338,-1,0),G352,G352-(G352-OFFSET(G338,-1,0))*G324),G352)))</f>
        <v>42596.74478933333</v>
      </c>
      <c r="H310" s="144">
        <f t="shared" ca="1" si="647"/>
        <v>42153.492020872494</v>
      </c>
      <c r="I310" s="144">
        <f t="shared" ref="I310:L310" ca="1" si="648">IF($A310&gt;I$160,"",IF($A310=0,IF(I$346&gt;0,I$346*(1-I$318),I$346),IF(I352&gt;0,IF(I352&lt;OFFSET(I338,-1,0),I352,I352-(I352-OFFSET(I338,-1,0))*I324),I352)))</f>
        <v>44431.380474471443</v>
      </c>
      <c r="J310" s="144">
        <f t="shared" ca="1" si="648"/>
        <v>44878.712190300517</v>
      </c>
      <c r="K310" s="144">
        <f t="shared" ca="1" si="648"/>
        <v>45070.455040215966</v>
      </c>
      <c r="L310" s="144">
        <f t="shared" ca="1" si="648"/>
        <v>51389.970382627202</v>
      </c>
      <c r="M310" s="144">
        <f t="shared" ref="M310" ca="1" si="649">IF($A310&gt;M$160,"",IF($A310=0,IF(M$346&gt;0,M$346*(1-M$318),M$346),IF(M352&gt;0,IF(M352&lt;OFFSET(M338,-1,0),M352,M352-(M352-OFFSET(M338,-1,0))*M324),M352)))</f>
        <v>59966.185818463331</v>
      </c>
    </row>
    <row r="311" spans="1:13" ht="15" customHeight="1">
      <c r="A311" s="10">
        <f t="shared" si="613"/>
        <v>7</v>
      </c>
      <c r="B311" s="41">
        <f t="shared" ca="1" si="614"/>
        <v>52309.575362710704</v>
      </c>
      <c r="C311" s="144">
        <f t="shared" ref="C311:D311" ca="1" si="650">IF($A311&gt;C$160,"",IF($A311=0,IF(C$346&gt;0,C$346*(1-C$318),C$346),IF(C353&gt;0,IF(C353&lt;OFFSET(C339,-1,0),C353,C353-(C353-OFFSET(C339,-1,0))*C325),C353)))</f>
        <v>49218.376895337249</v>
      </c>
      <c r="D311" s="144">
        <f t="shared" ca="1" si="650"/>
        <v>44753.95963983296</v>
      </c>
      <c r="E311" s="144">
        <f t="shared" ref="E311:F311" ca="1" si="651">IF($A311&gt;E$160,"",IF($A311=0,IF(E$346&gt;0,E$346*(1-E$318),E$346),IF(E353&gt;0,IF(E353&lt;OFFSET(E339,-1,0),E353,E353-(E353-OFFSET(E339,-1,0))*E325),E353)))</f>
        <v>43074.812664771758</v>
      </c>
      <c r="F311" s="144">
        <f t="shared" ca="1" si="651"/>
        <v>42489.628613741967</v>
      </c>
      <c r="G311" s="144">
        <f t="shared" ref="G311:H311" ca="1" si="652">IF($A311&gt;G$160,"",IF($A311=0,IF(G$346&gt;0,G$346*(1-G$318),G$346),IF(G353&gt;0,IF(G353&lt;OFFSET(G339,-1,0),G353,G353-(G353-OFFSET(G339,-1,0))*G325),G353)))</f>
        <v>41782.31284821617</v>
      </c>
      <c r="H311" s="144">
        <f t="shared" ca="1" si="652"/>
        <v>41332.974532916931</v>
      </c>
      <c r="I311" s="144">
        <f t="shared" ref="I311:L311" ca="1" si="653">IF($A311&gt;I$160,"",IF($A311=0,IF(I$346&gt;0,I$346*(1-I$318),I$346),IF(I353&gt;0,IF(I353&lt;OFFSET(I339,-1,0),I353,I353-(I353-OFFSET(I339,-1,0))*I325),I353)))</f>
        <v>43750.255160264336</v>
      </c>
      <c r="J311" s="144">
        <f t="shared" ca="1" si="653"/>
        <v>43835.25124262747</v>
      </c>
      <c r="K311" s="144">
        <f t="shared" ca="1" si="653"/>
        <v>43711.830253546213</v>
      </c>
      <c r="L311" s="144">
        <f t="shared" ca="1" si="653"/>
        <v>50790.500481963114</v>
      </c>
      <c r="M311" s="144">
        <f t="shared" ref="M311" ca="1" si="654">IF($A311&gt;M$160,"",IF($A311=0,IF(M$346&gt;0,M$346*(1-M$318),M$346),IF(M353&gt;0,IF(M353&lt;OFFSET(M339,-1,0),M353,M353-(M353-OFFSET(M339,-1,0))*M325),M353)))</f>
        <v>61417.968493984095</v>
      </c>
    </row>
    <row r="312" spans="1:13" ht="15" customHeight="1">
      <c r="A312" s="10">
        <f t="shared" si="613"/>
        <v>8</v>
      </c>
      <c r="B312" s="41">
        <f t="shared" ca="1" si="614"/>
        <v>50882.322030321644</v>
      </c>
      <c r="C312" s="144">
        <f t="shared" ref="C312:D312" ca="1" si="655">IF($A312&gt;C$160,"",IF($A312=0,IF(C$346&gt;0,C$346*(1-C$318),C$346),IF(C354&gt;0,IF(C354&lt;OFFSET(C340,-1,0),C354,C354-(C354-OFFSET(C340,-1,0))*C326),C354)))</f>
        <v>47906.98575757831</v>
      </c>
      <c r="D312" s="144">
        <f t="shared" ca="1" si="655"/>
        <v>43807.110177642564</v>
      </c>
      <c r="E312" s="144">
        <f t="shared" ref="E312:F312" ca="1" si="656">IF($A312&gt;E$160,"",IF($A312=0,IF(E$346&gt;0,E$346*(1-E$318),E$346),IF(E354&gt;0,IF(E354&lt;OFFSET(E340,-1,0),E354,E354-(E354-OFFSET(E340,-1,0))*E326),E354)))</f>
        <v>41949.421751303584</v>
      </c>
      <c r="F312" s="144">
        <f t="shared" ca="1" si="656"/>
        <v>41434.860749559943</v>
      </c>
      <c r="G312" s="144">
        <f t="shared" ref="G312:H312" ca="1" si="657">IF($A312&gt;G$160,"",IF($A312=0,IF(G$346&gt;0,G$346*(1-G$318),G$346),IF(G354&gt;0,IF(G354&lt;OFFSET(G340,-1,0),G354,G354-(G354-OFFSET(G340,-1,0))*G326),G354)))</f>
        <v>40817.648992819959</v>
      </c>
      <c r="H312" s="144">
        <f t="shared" ca="1" si="657"/>
        <v>40386.742510053991</v>
      </c>
      <c r="I312" s="144">
        <f t="shared" ref="I312:L312" ca="1" si="658">IF($A312&gt;I$160,"",IF($A312=0,IF(I$346&gt;0,I$346*(1-I$318),I$346),IF(I354&gt;0,IF(I354&lt;OFFSET(I340,-1,0),I354,I354-(I354-OFFSET(I340,-1,0))*I326),I354)))</f>
        <v>42840.936974569617</v>
      </c>
      <c r="J312" s="144">
        <f t="shared" ca="1" si="658"/>
        <v>42467.574079115671</v>
      </c>
      <c r="K312" s="144">
        <f t="shared" ca="1" si="658"/>
        <v>42029.411159792609</v>
      </c>
      <c r="L312" s="144">
        <f t="shared" ca="1" si="658"/>
        <v>49710.111715484054</v>
      </c>
      <c r="M312" s="144">
        <f t="shared" ref="M312" ca="1" si="659">IF($A312&gt;M$160,"",IF($A312=0,IF(M$346&gt;0,M$346*(1-M$318),M$346),IF(M354&gt;0,IF(M354&lt;OFFSET(M340,-1,0),M354,M354-(M354-OFFSET(M340,-1,0))*M326),M354)))</f>
        <v>62105.248794671104</v>
      </c>
    </row>
    <row r="313" spans="1:13" ht="15" customHeight="1">
      <c r="A313" s="10">
        <f t="shared" si="613"/>
        <v>9</v>
      </c>
      <c r="B313" s="41">
        <f t="shared" ca="1" si="614"/>
        <v>49219.877390730355</v>
      </c>
      <c r="C313" s="144">
        <f t="shared" ref="C313:D313" ca="1" si="660">IF($A313&gt;C$160,"",IF($A313=0,IF(C$346&gt;0,C$346*(1-C$318),C$346),IF(C355&gt;0,IF(C355&lt;OFFSET(C341,-1,0),C355,C355-(C355-OFFSET(C341,-1,0))*C327),C355)))</f>
        <v>46377.765707773331</v>
      </c>
      <c r="D313" s="144">
        <f t="shared" ca="1" si="660"/>
        <v>42694.393485953886</v>
      </c>
      <c r="E313" s="144">
        <f t="shared" ref="E313:F313" ca="1" si="661">IF($A313&gt;E$160,"",IF($A313=0,IF(E$346&gt;0,E$346*(1-E$318),E$346),IF(E355&gt;0,IF(E355&lt;OFFSET(E341,-1,0),E355,E355-(E355-OFFSET(E341,-1,0))*E327),E355)))</f>
        <v>40669.911219606438</v>
      </c>
      <c r="F313" s="144">
        <f t="shared" ca="1" si="661"/>
        <v>40233.751173801385</v>
      </c>
      <c r="G313" s="144">
        <f t="shared" ref="G313:H313" ca="1" si="662">IF($A313&gt;G$160,"",IF($A313=0,IF(G$346&gt;0,G$346*(1-G$318),G$346),IF(G355&gt;0,IF(G355&lt;OFFSET(G341,-1,0),G355,G355-(G355-OFFSET(G341,-1,0))*G327),G355)))</f>
        <v>39709.668604411097</v>
      </c>
      <c r="H313" s="144">
        <f t="shared" ca="1" si="662"/>
        <v>39319.901928058651</v>
      </c>
      <c r="I313" s="144">
        <f t="shared" ref="I313:L313" ca="1" si="663">IF($A313&gt;I$160,"",IF($A313=0,IF(I$346&gt;0,I$346*(1-I$318),I$346),IF(I355&gt;0,IF(I355&lt;OFFSET(I341,-1,0),I355,I355-(I355-OFFSET(I341,-1,0))*I327),I355)))</f>
        <v>41712.924621822756</v>
      </c>
      <c r="J313" s="144">
        <f t="shared" ca="1" si="663"/>
        <v>40800.987044471563</v>
      </c>
      <c r="K313" s="144">
        <f t="shared" ca="1" si="663"/>
        <v>40055.790127754699</v>
      </c>
      <c r="L313" s="144">
        <f t="shared" ca="1" si="663"/>
        <v>48170.954658915245</v>
      </c>
      <c r="M313" s="144">
        <f t="shared" ref="M313" ca="1" si="664">IF($A313&gt;M$160,"",IF($A313=0,IF(M$346&gt;0,M$346*(1-M$318),M$346),IF(M355&gt;0,IF(M355&lt;OFFSET(M341,-1,0),M355,M355-(M355-OFFSET(M341,-1,0))*M327),M355)))</f>
        <v>61990.312781494213</v>
      </c>
    </row>
    <row r="314" spans="1:13" ht="15" customHeight="1">
      <c r="A314" s="10">
        <f t="shared" si="613"/>
        <v>10</v>
      </c>
      <c r="B314" s="41">
        <f t="shared" ca="1" si="614"/>
        <v>47342.980352383376</v>
      </c>
      <c r="C314" s="144">
        <f t="shared" ref="C314:D314" ca="1" si="665">IF($A314&gt;C$160,"",IF($A314=0,IF(C$346&gt;0,C$346*(1-C$318),C$346),IF(C356&gt;0,IF(C356&lt;OFFSET(C342,-1,0),C356,C356-(C356-OFFSET(C342,-1,0))*C328),C356)))</f>
        <v>44649.321001592041</v>
      </c>
      <c r="D314" s="144">
        <f t="shared" ca="1" si="665"/>
        <v>41425.969162047171</v>
      </c>
      <c r="E314" s="144">
        <f t="shared" ref="E314:F314" ca="1" si="666">IF($A314&gt;E$160,"",IF($A314=0,IF(E$346&gt;0,E$346*(1-E$318),E$346),IF(E356&gt;0,IF(E356&lt;OFFSET(E342,-1,0),E356,E356-(E356-OFFSET(E342,-1,0))*E328),E356)))</f>
        <v>39247.343293091442</v>
      </c>
      <c r="F314" s="144">
        <f t="shared" ca="1" si="666"/>
        <v>38895.818522465546</v>
      </c>
      <c r="G314" s="144">
        <f t="shared" ref="G314:H314" ca="1" si="667">IF($A314&gt;G$160,"",IF($A314=0,IF(G$346&gt;0,G$346*(1-G$318),G$346),IF(G356&gt;0,IF(G356&lt;OFFSET(G342,-1,0),G356,G356-(G356-OFFSET(G342,-1,0))*G328),G356)))</f>
        <v>38466.797199112974</v>
      </c>
      <c r="H314" s="144">
        <f t="shared" ca="1" si="667"/>
        <v>38138.625504044248</v>
      </c>
      <c r="I314" s="144">
        <f t="shared" ref="I314:L314" ca="1" si="668">IF($A314&gt;I$160,"",IF($A314=0,IF(I$346&gt;0,I$346*(1-I$318),I$346),IF(I356&gt;0,IF(I356&lt;OFFSET(I342,-1,0),I356,I356-(I356-OFFSET(I342,-1,0))*I328),I356)))</f>
        <v>40379.075818778438</v>
      </c>
      <c r="J314" s="144">
        <f t="shared" ca="1" si="668"/>
        <v>38867.41473616015</v>
      </c>
      <c r="K314" s="144">
        <f t="shared" ca="1" si="668"/>
        <v>37830.068366830499</v>
      </c>
      <c r="L314" s="144">
        <f t="shared" ca="1" si="668"/>
        <v>46208.067870654115</v>
      </c>
      <c r="M314" s="144">
        <f t="shared" ref="M314" ca="1" si="669">IF($A314&gt;M$160,"",IF($A314=0,IF(M$346&gt;0,M$346*(1-M$318),M$346),IF(M356&gt;0,IF(M356&lt;OFFSET(M342,-1,0),M356,M356-(M356-OFFSET(M342,-1,0))*M328),M356)))</f>
        <v>61065.763887571462</v>
      </c>
    </row>
    <row r="315" spans="1:13" ht="15" customHeight="1">
      <c r="C315" s="145"/>
      <c r="D315" s="145"/>
      <c r="E315" s="145"/>
      <c r="F315" s="145"/>
      <c r="G315" s="145"/>
      <c r="H315" s="145"/>
      <c r="I315" s="145"/>
      <c r="J315" s="145"/>
      <c r="K315" s="145"/>
      <c r="L315" s="145"/>
      <c r="M315" s="145"/>
    </row>
    <row r="316" spans="1:13" ht="15" customHeight="1">
      <c r="C316" s="145"/>
      <c r="D316" s="145"/>
      <c r="E316" s="145"/>
      <c r="F316" s="145"/>
      <c r="G316" s="145"/>
      <c r="H316" s="145"/>
      <c r="I316" s="145"/>
      <c r="J316" s="145"/>
      <c r="K316" s="145"/>
      <c r="L316" s="145"/>
      <c r="M316" s="145"/>
    </row>
    <row r="317" spans="1:13" ht="15" customHeight="1">
      <c r="A317" s="106" t="s">
        <v>397</v>
      </c>
      <c r="B317" s="5"/>
      <c r="C317" s="149"/>
      <c r="D317" s="149"/>
      <c r="E317" s="149"/>
      <c r="F317" s="149"/>
      <c r="G317" s="149"/>
      <c r="H317" s="149"/>
      <c r="I317" s="149"/>
      <c r="J317" s="149"/>
      <c r="K317" s="149"/>
      <c r="L317" s="149"/>
      <c r="M317" s="149"/>
    </row>
    <row r="318" spans="1:13" ht="15" customHeight="1">
      <c r="A318" s="10">
        <f t="shared" ref="A318:A328" si="670">A304</f>
        <v>0</v>
      </c>
      <c r="B318" s="7">
        <f t="shared" ref="B318:M328" ca="1" si="671">IF($A318&gt;B$160,"",IF($A318=0,B$817,IF(AND($A318&gt;=1,$A318&lt;=B$161),OFFSET(B318,-1,0),OFFSET(B318,-1,0)+(B$151-OFFSET(B$318,B$161,0))/B$161)))</f>
        <v>0.26906916612798965</v>
      </c>
      <c r="C318" s="149">
        <f t="shared" ca="1" si="671"/>
        <v>0.26179554390563564</v>
      </c>
      <c r="D318" s="149">
        <f t="shared" ca="1" si="671"/>
        <v>0.26194211994421202</v>
      </c>
      <c r="E318" s="149">
        <f t="shared" ca="1" si="671"/>
        <v>0.2620963710886734</v>
      </c>
      <c r="F318" s="149">
        <f t="shared" ca="1" si="671"/>
        <v>0.2611</v>
      </c>
      <c r="G318" s="149">
        <f t="shared" ca="1" si="671"/>
        <v>0.26184425998080074</v>
      </c>
      <c r="H318" s="149">
        <f t="shared" ca="1" si="671"/>
        <v>0.26150000000000001</v>
      </c>
      <c r="I318" s="149">
        <f t="shared" ca="1" si="671"/>
        <v>0.2620963710886734</v>
      </c>
      <c r="J318" s="149">
        <f t="shared" ca="1" si="671"/>
        <v>0.2601</v>
      </c>
      <c r="K318" s="149">
        <f t="shared" ca="1" si="671"/>
        <v>0.25995925758261657</v>
      </c>
      <c r="L318" s="149">
        <f t="shared" ca="1" si="671"/>
        <v>0.25160052364471064</v>
      </c>
      <c r="M318" s="149">
        <f t="shared" ca="1" si="671"/>
        <v>0.25604923699519433</v>
      </c>
    </row>
    <row r="319" spans="1:13" ht="15" customHeight="1">
      <c r="A319" s="10">
        <f t="shared" si="670"/>
        <v>1</v>
      </c>
      <c r="B319" s="7">
        <f t="shared" ca="1" si="671"/>
        <v>0.26906916612798965</v>
      </c>
      <c r="C319" s="149">
        <f t="shared" ca="1" si="671"/>
        <v>0.26179554390563564</v>
      </c>
      <c r="D319" s="149">
        <f t="shared" ca="1" si="671"/>
        <v>0.26194211994421202</v>
      </c>
      <c r="E319" s="149">
        <f t="shared" ca="1" si="671"/>
        <v>0.2620963710886734</v>
      </c>
      <c r="F319" s="149">
        <f t="shared" ca="1" si="671"/>
        <v>0.2611</v>
      </c>
      <c r="G319" s="149">
        <f t="shared" ca="1" si="671"/>
        <v>0.26184425998080074</v>
      </c>
      <c r="H319" s="149">
        <f t="shared" ca="1" si="671"/>
        <v>0.26150000000000001</v>
      </c>
      <c r="I319" s="149">
        <f t="shared" ca="1" si="671"/>
        <v>0.2620963710886734</v>
      </c>
      <c r="J319" s="149">
        <f t="shared" ca="1" si="671"/>
        <v>0.2601</v>
      </c>
      <c r="K319" s="149">
        <f t="shared" ca="1" si="671"/>
        <v>0.25995925758261657</v>
      </c>
      <c r="L319" s="149">
        <f t="shared" ca="1" si="671"/>
        <v>0.25160052364471064</v>
      </c>
      <c r="M319" s="149">
        <f t="shared" ca="1" si="671"/>
        <v>0.25604923699519433</v>
      </c>
    </row>
    <row r="320" spans="1:13" ht="15" customHeight="1">
      <c r="A320" s="10">
        <f t="shared" si="670"/>
        <v>2</v>
      </c>
      <c r="B320" s="7">
        <f t="shared" ca="1" si="671"/>
        <v>0.26906916612798965</v>
      </c>
      <c r="C320" s="149">
        <f t="shared" ca="1" si="671"/>
        <v>0.26179554390563564</v>
      </c>
      <c r="D320" s="149">
        <f t="shared" ca="1" si="671"/>
        <v>0.26194211994421202</v>
      </c>
      <c r="E320" s="149">
        <f t="shared" ca="1" si="671"/>
        <v>0.2620963710886734</v>
      </c>
      <c r="F320" s="149">
        <f t="shared" ca="1" si="671"/>
        <v>0.2611</v>
      </c>
      <c r="G320" s="149">
        <f t="shared" ca="1" si="671"/>
        <v>0.26184425998080074</v>
      </c>
      <c r="H320" s="149">
        <f t="shared" ca="1" si="671"/>
        <v>0.26150000000000001</v>
      </c>
      <c r="I320" s="149">
        <f t="shared" ca="1" si="671"/>
        <v>0.2620963710886734</v>
      </c>
      <c r="J320" s="149">
        <f t="shared" ca="1" si="671"/>
        <v>0.2601</v>
      </c>
      <c r="K320" s="149">
        <f t="shared" ca="1" si="671"/>
        <v>0.25995925758261657</v>
      </c>
      <c r="L320" s="149">
        <f t="shared" ca="1" si="671"/>
        <v>0.25160052364471064</v>
      </c>
      <c r="M320" s="149">
        <f t="shared" ca="1" si="671"/>
        <v>0.25604923699519433</v>
      </c>
    </row>
    <row r="321" spans="1:13" ht="15" customHeight="1">
      <c r="A321" s="10">
        <f t="shared" si="670"/>
        <v>3</v>
      </c>
      <c r="B321" s="7">
        <f t="shared" ca="1" si="671"/>
        <v>0.26906916612798965</v>
      </c>
      <c r="C321" s="149">
        <f t="shared" ca="1" si="671"/>
        <v>0.26179554390563564</v>
      </c>
      <c r="D321" s="149">
        <f t="shared" ca="1" si="671"/>
        <v>0.26194211994421202</v>
      </c>
      <c r="E321" s="149">
        <f t="shared" ca="1" si="671"/>
        <v>0.2620963710886734</v>
      </c>
      <c r="F321" s="149">
        <f t="shared" ca="1" si="671"/>
        <v>0.2611</v>
      </c>
      <c r="G321" s="149">
        <f t="shared" ca="1" si="671"/>
        <v>0.26184425998080074</v>
      </c>
      <c r="H321" s="149">
        <f t="shared" ca="1" si="671"/>
        <v>0.26150000000000001</v>
      </c>
      <c r="I321" s="149">
        <f t="shared" ca="1" si="671"/>
        <v>0.2620963710886734</v>
      </c>
      <c r="J321" s="149">
        <f t="shared" ca="1" si="671"/>
        <v>0.2601</v>
      </c>
      <c r="K321" s="149">
        <f t="shared" ca="1" si="671"/>
        <v>0.25995925758261657</v>
      </c>
      <c r="L321" s="149">
        <f t="shared" ca="1" si="671"/>
        <v>0.25160052364471064</v>
      </c>
      <c r="M321" s="149">
        <f t="shared" ca="1" si="671"/>
        <v>0.25604923699519433</v>
      </c>
    </row>
    <row r="322" spans="1:13" ht="15" customHeight="1">
      <c r="A322" s="10">
        <f t="shared" si="670"/>
        <v>4</v>
      </c>
      <c r="B322" s="7">
        <f t="shared" ca="1" si="671"/>
        <v>0.26906916612798965</v>
      </c>
      <c r="C322" s="149">
        <f t="shared" ca="1" si="671"/>
        <v>0.26179554390563564</v>
      </c>
      <c r="D322" s="149">
        <f t="shared" ca="1" si="671"/>
        <v>0.26194211994421202</v>
      </c>
      <c r="E322" s="149">
        <f t="shared" ca="1" si="671"/>
        <v>0.2620963710886734</v>
      </c>
      <c r="F322" s="149">
        <f t="shared" ca="1" si="671"/>
        <v>0.2611</v>
      </c>
      <c r="G322" s="149">
        <f t="shared" ca="1" si="671"/>
        <v>0.26184425998080074</v>
      </c>
      <c r="H322" s="149">
        <f t="shared" ca="1" si="671"/>
        <v>0.26150000000000001</v>
      </c>
      <c r="I322" s="149">
        <f t="shared" ca="1" si="671"/>
        <v>0.2620963710886734</v>
      </c>
      <c r="J322" s="149">
        <f t="shared" ca="1" si="671"/>
        <v>0.2601</v>
      </c>
      <c r="K322" s="149">
        <f t="shared" ca="1" si="671"/>
        <v>0.25995925758261657</v>
      </c>
      <c r="L322" s="149">
        <f t="shared" ca="1" si="671"/>
        <v>0.25160052364471064</v>
      </c>
      <c r="M322" s="149">
        <f t="shared" ca="1" si="671"/>
        <v>0.25604923699519433</v>
      </c>
    </row>
    <row r="323" spans="1:13" ht="15" customHeight="1">
      <c r="A323" s="10">
        <f t="shared" si="670"/>
        <v>5</v>
      </c>
      <c r="B323" s="7">
        <f t="shared" ca="1" si="671"/>
        <v>0.26906916612798965</v>
      </c>
      <c r="C323" s="149">
        <f t="shared" ca="1" si="671"/>
        <v>0.26179554390563564</v>
      </c>
      <c r="D323" s="149">
        <f t="shared" ca="1" si="671"/>
        <v>0.26194211994421202</v>
      </c>
      <c r="E323" s="149">
        <f t="shared" ca="1" si="671"/>
        <v>0.2620963710886734</v>
      </c>
      <c r="F323" s="149">
        <f t="shared" ca="1" si="671"/>
        <v>0.2611</v>
      </c>
      <c r="G323" s="149">
        <f t="shared" ca="1" si="671"/>
        <v>0.26184425998080074</v>
      </c>
      <c r="H323" s="149">
        <f t="shared" ca="1" si="671"/>
        <v>0.26150000000000001</v>
      </c>
      <c r="I323" s="149">
        <f t="shared" ca="1" si="671"/>
        <v>0.2620963710886734</v>
      </c>
      <c r="J323" s="149">
        <f t="shared" ca="1" si="671"/>
        <v>0.2601</v>
      </c>
      <c r="K323" s="149">
        <f t="shared" ca="1" si="671"/>
        <v>0.25995925758261657</v>
      </c>
      <c r="L323" s="149">
        <f t="shared" ca="1" si="671"/>
        <v>0.25160052364471064</v>
      </c>
      <c r="M323" s="149">
        <f t="shared" ca="1" si="671"/>
        <v>0.25604923699519433</v>
      </c>
    </row>
    <row r="324" spans="1:13" ht="15" customHeight="1">
      <c r="A324" s="10">
        <f t="shared" si="670"/>
        <v>6</v>
      </c>
      <c r="B324" s="7">
        <f t="shared" ca="1" si="671"/>
        <v>0.28725533290239169</v>
      </c>
      <c r="C324" s="149">
        <f t="shared" ca="1" si="671"/>
        <v>0.2814364351245085</v>
      </c>
      <c r="D324" s="149">
        <f t="shared" ca="1" si="671"/>
        <v>0.28155369595536961</v>
      </c>
      <c r="E324" s="149">
        <f t="shared" ca="1" si="671"/>
        <v>0.28567709687093873</v>
      </c>
      <c r="F324" s="149">
        <f t="shared" ca="1" si="671"/>
        <v>0.28488000000000002</v>
      </c>
      <c r="G324" s="149">
        <f t="shared" ca="1" si="671"/>
        <v>0.28547540798464061</v>
      </c>
      <c r="H324" s="149">
        <f t="shared" ca="1" si="671"/>
        <v>0.28520000000000001</v>
      </c>
      <c r="I324" s="149">
        <f t="shared" ca="1" si="671"/>
        <v>0.28567709687093873</v>
      </c>
      <c r="J324" s="149">
        <f t="shared" ca="1" si="671"/>
        <v>0.28408</v>
      </c>
      <c r="K324" s="149">
        <f t="shared" ca="1" si="671"/>
        <v>0.28396740606609328</v>
      </c>
      <c r="L324" s="149">
        <f t="shared" ca="1" si="671"/>
        <v>0.27728041891576849</v>
      </c>
      <c r="M324" s="149">
        <f t="shared" ca="1" si="671"/>
        <v>0.27483938959615545</v>
      </c>
    </row>
    <row r="325" spans="1:13" ht="15" customHeight="1">
      <c r="A325" s="10">
        <f t="shared" si="670"/>
        <v>7</v>
      </c>
      <c r="B325" s="7">
        <f t="shared" ca="1" si="671"/>
        <v>0.30544149967679374</v>
      </c>
      <c r="C325" s="149">
        <f t="shared" ca="1" si="671"/>
        <v>0.30107732634338136</v>
      </c>
      <c r="D325" s="149">
        <f t="shared" ca="1" si="671"/>
        <v>0.3011652719665272</v>
      </c>
      <c r="E325" s="149">
        <f t="shared" ca="1" si="671"/>
        <v>0.30925782265320406</v>
      </c>
      <c r="F325" s="149">
        <f t="shared" ca="1" si="671"/>
        <v>0.30866000000000005</v>
      </c>
      <c r="G325" s="149">
        <f t="shared" ca="1" si="671"/>
        <v>0.30910655598848047</v>
      </c>
      <c r="H325" s="149">
        <f t="shared" ca="1" si="671"/>
        <v>0.30890000000000001</v>
      </c>
      <c r="I325" s="149">
        <f t="shared" ca="1" si="671"/>
        <v>0.30925782265320406</v>
      </c>
      <c r="J325" s="149">
        <f t="shared" ca="1" si="671"/>
        <v>0.30806</v>
      </c>
      <c r="K325" s="149">
        <f t="shared" ca="1" si="671"/>
        <v>0.30797555454956999</v>
      </c>
      <c r="L325" s="149">
        <f t="shared" ca="1" si="671"/>
        <v>0.30296031418682634</v>
      </c>
      <c r="M325" s="149">
        <f t="shared" ca="1" si="671"/>
        <v>0.29362954219711657</v>
      </c>
    </row>
    <row r="326" spans="1:13" ht="15" customHeight="1">
      <c r="A326" s="10">
        <f t="shared" si="670"/>
        <v>8</v>
      </c>
      <c r="B326" s="7">
        <f t="shared" ca="1" si="671"/>
        <v>0.32362766645119578</v>
      </c>
      <c r="C326" s="149">
        <f t="shared" ca="1" si="671"/>
        <v>0.32071821756225422</v>
      </c>
      <c r="D326" s="149">
        <f t="shared" ca="1" si="671"/>
        <v>0.3207768479776848</v>
      </c>
      <c r="E326" s="149">
        <f t="shared" ca="1" si="671"/>
        <v>0.33283854843546939</v>
      </c>
      <c r="F326" s="149">
        <f t="shared" ca="1" si="671"/>
        <v>0.33244000000000007</v>
      </c>
      <c r="G326" s="149">
        <f t="shared" ca="1" si="671"/>
        <v>0.33273770399232033</v>
      </c>
      <c r="H326" s="149">
        <f t="shared" ca="1" si="671"/>
        <v>0.33260000000000001</v>
      </c>
      <c r="I326" s="149">
        <f t="shared" ca="1" si="671"/>
        <v>0.33283854843546939</v>
      </c>
      <c r="J326" s="149">
        <f t="shared" ca="1" si="671"/>
        <v>0.33204</v>
      </c>
      <c r="K326" s="149">
        <f t="shared" ca="1" si="671"/>
        <v>0.3319837030330467</v>
      </c>
      <c r="L326" s="149">
        <f t="shared" ca="1" si="671"/>
        <v>0.32864020945788419</v>
      </c>
      <c r="M326" s="149">
        <f t="shared" ca="1" si="671"/>
        <v>0.31241969479807769</v>
      </c>
    </row>
    <row r="327" spans="1:13" ht="15" customHeight="1">
      <c r="A327" s="10">
        <f t="shared" si="670"/>
        <v>9</v>
      </c>
      <c r="B327" s="7">
        <f t="shared" ca="1" si="671"/>
        <v>0.34181383322559783</v>
      </c>
      <c r="C327" s="149">
        <f t="shared" ca="1" si="671"/>
        <v>0.34035910878112707</v>
      </c>
      <c r="D327" s="149">
        <f t="shared" ca="1" si="671"/>
        <v>0.34038842398884239</v>
      </c>
      <c r="E327" s="149">
        <f t="shared" ca="1" si="671"/>
        <v>0.35641927421773473</v>
      </c>
      <c r="F327" s="149">
        <f t="shared" ca="1" si="671"/>
        <v>0.35622000000000009</v>
      </c>
      <c r="G327" s="149">
        <f t="shared" ca="1" si="671"/>
        <v>0.3563688519961602</v>
      </c>
      <c r="H327" s="149">
        <f t="shared" ca="1" si="671"/>
        <v>0.35630000000000001</v>
      </c>
      <c r="I327" s="149">
        <f t="shared" ca="1" si="671"/>
        <v>0.35641927421773473</v>
      </c>
      <c r="J327" s="149">
        <f t="shared" ca="1" si="671"/>
        <v>0.35602</v>
      </c>
      <c r="K327" s="149">
        <f t="shared" ca="1" si="671"/>
        <v>0.35599185151652341</v>
      </c>
      <c r="L327" s="149">
        <f t="shared" ca="1" si="671"/>
        <v>0.35432010472894204</v>
      </c>
      <c r="M327" s="149">
        <f t="shared" ca="1" si="671"/>
        <v>0.3312098473990388</v>
      </c>
    </row>
    <row r="328" spans="1:13" ht="15" customHeight="1">
      <c r="A328" s="10">
        <f t="shared" si="670"/>
        <v>10</v>
      </c>
      <c r="B328" s="7">
        <f t="shared" ca="1" si="671"/>
        <v>0.35999999999999988</v>
      </c>
      <c r="C328" s="149">
        <f t="shared" ca="1" si="671"/>
        <v>0.35999999999999993</v>
      </c>
      <c r="D328" s="149">
        <f t="shared" ca="1" si="671"/>
        <v>0.36</v>
      </c>
      <c r="E328" s="149">
        <f t="shared" ca="1" si="671"/>
        <v>0.38000000000000006</v>
      </c>
      <c r="F328" s="149">
        <f t="shared" ca="1" si="671"/>
        <v>0.38000000000000012</v>
      </c>
      <c r="G328" s="149">
        <f t="shared" ca="1" si="671"/>
        <v>0.38000000000000006</v>
      </c>
      <c r="H328" s="149">
        <f t="shared" ca="1" si="671"/>
        <v>0.38</v>
      </c>
      <c r="I328" s="149">
        <f t="shared" ca="1" si="671"/>
        <v>0.38000000000000006</v>
      </c>
      <c r="J328" s="149">
        <f t="shared" ca="1" si="671"/>
        <v>0.38</v>
      </c>
      <c r="K328" s="149">
        <f t="shared" ca="1" si="671"/>
        <v>0.38000000000000012</v>
      </c>
      <c r="L328" s="149">
        <f t="shared" ca="1" si="671"/>
        <v>0.37999999999999989</v>
      </c>
      <c r="M328" s="149">
        <f t="shared" ca="1" si="671"/>
        <v>0.34999999999999992</v>
      </c>
    </row>
    <row r="329" spans="1:13" ht="15" customHeight="1">
      <c r="C329" s="145"/>
      <c r="D329" s="145"/>
      <c r="E329" s="145"/>
      <c r="F329" s="145"/>
      <c r="G329" s="145"/>
      <c r="H329" s="145"/>
      <c r="I329" s="145"/>
      <c r="J329" s="145"/>
      <c r="K329" s="145"/>
      <c r="L329" s="145"/>
      <c r="M329" s="145"/>
    </row>
    <row r="330" spans="1:13" ht="15" customHeight="1">
      <c r="C330" s="145"/>
      <c r="D330" s="145"/>
      <c r="E330" s="145"/>
      <c r="F330" s="145"/>
      <c r="G330" s="145"/>
      <c r="H330" s="145"/>
      <c r="I330" s="145"/>
      <c r="J330" s="145"/>
      <c r="K330" s="145"/>
      <c r="L330" s="145"/>
      <c r="M330" s="145"/>
    </row>
    <row r="331" spans="1:13" ht="15" customHeight="1">
      <c r="A331" s="106" t="str">
        <f>A152</f>
        <v>NOL</v>
      </c>
      <c r="B331" s="94"/>
      <c r="C331" s="144"/>
      <c r="D331" s="144"/>
      <c r="E331" s="144"/>
      <c r="F331" s="144"/>
      <c r="G331" s="144"/>
      <c r="H331" s="144"/>
      <c r="I331" s="144"/>
      <c r="J331" s="144"/>
      <c r="K331" s="144"/>
      <c r="L331" s="144"/>
      <c r="M331" s="144"/>
    </row>
    <row r="332" spans="1:13" ht="15" customHeight="1">
      <c r="A332" s="10">
        <f t="shared" ref="A332:A342" si="672">A318</f>
        <v>0</v>
      </c>
      <c r="B332" s="41">
        <f t="shared" ref="B332:C342" ca="1" si="673">IF($A332&gt;B$160,"",IF($A332=0,B$816,IF(B346&lt;0,OFFSET(B332,-1,0)-B346,IF(OFFSET(B332,-1,0)&gt;B346,OFFSET(B332,-1,0)-B346,0))))</f>
        <v>0</v>
      </c>
      <c r="C332" s="144">
        <f t="shared" ca="1" si="673"/>
        <v>0</v>
      </c>
      <c r="D332" s="144">
        <f t="shared" ref="D332:E332" ca="1" si="674">IF($A332&gt;D$160,"",IF($A332=0,D$816,IF(D346&lt;0,OFFSET(D332,-1,0)-D346,IF(OFFSET(D332,-1,0)&gt;D346,OFFSET(D332,-1,0)-D346,0))))</f>
        <v>0</v>
      </c>
      <c r="E332" s="144">
        <f t="shared" ca="1" si="674"/>
        <v>0</v>
      </c>
      <c r="F332" s="144">
        <f t="shared" ref="F332:G332" ca="1" si="675">IF($A332&gt;F$160,"",IF($A332=0,F$816,IF(F346&lt;0,OFFSET(F332,-1,0)-F346,IF(OFFSET(F332,-1,0)&gt;F346,OFFSET(F332,-1,0)-F346,0))))</f>
        <v>0</v>
      </c>
      <c r="G332" s="144">
        <f t="shared" ca="1" si="675"/>
        <v>0</v>
      </c>
      <c r="H332" s="144">
        <f t="shared" ref="H332:K332" ca="1" si="676">IF($A332&gt;H$160,"",IF($A332=0,H$816,IF(H346&lt;0,OFFSET(H332,-1,0)-H346,IF(OFFSET(H332,-1,0)&gt;H346,OFFSET(H332,-1,0)-H346,0))))</f>
        <v>0</v>
      </c>
      <c r="I332" s="144">
        <f t="shared" ca="1" si="676"/>
        <v>0</v>
      </c>
      <c r="J332" s="144">
        <f t="shared" ca="1" si="676"/>
        <v>0</v>
      </c>
      <c r="K332" s="144">
        <f t="shared" ca="1" si="676"/>
        <v>0</v>
      </c>
      <c r="L332" s="144">
        <f t="shared" ref="L332:M332" ca="1" si="677">IF($A332&gt;L$160,"",IF($A332=0,L$816,IF(L346&lt;0,OFFSET(L332,-1,0)-L346,IF(OFFSET(L332,-1,0)&gt;L346,OFFSET(L332,-1,0)-L346,0))))</f>
        <v>0</v>
      </c>
      <c r="M332" s="144">
        <f t="shared" ca="1" si="677"/>
        <v>0</v>
      </c>
    </row>
    <row r="333" spans="1:13" ht="15" customHeight="1">
      <c r="A333" s="10">
        <f t="shared" si="672"/>
        <v>1</v>
      </c>
      <c r="B333" s="41">
        <f t="shared" ca="1" si="673"/>
        <v>0</v>
      </c>
      <c r="C333" s="144">
        <f t="shared" ca="1" si="673"/>
        <v>0</v>
      </c>
      <c r="D333" s="144">
        <f t="shared" ref="D333:E333" ca="1" si="678">IF($A333&gt;D$160,"",IF($A333=0,D$816,IF(D347&lt;0,OFFSET(D333,-1,0)-D347,IF(OFFSET(D333,-1,0)&gt;D347,OFFSET(D333,-1,0)-D347,0))))</f>
        <v>0</v>
      </c>
      <c r="E333" s="144">
        <f t="shared" ca="1" si="678"/>
        <v>0</v>
      </c>
      <c r="F333" s="144">
        <f t="shared" ref="F333:G333" ca="1" si="679">IF($A333&gt;F$160,"",IF($A333=0,F$816,IF(F347&lt;0,OFFSET(F333,-1,0)-F347,IF(OFFSET(F333,-1,0)&gt;F347,OFFSET(F333,-1,0)-F347,0))))</f>
        <v>0</v>
      </c>
      <c r="G333" s="144">
        <f t="shared" ca="1" si="679"/>
        <v>0</v>
      </c>
      <c r="H333" s="144">
        <f t="shared" ref="H333:K333" ca="1" si="680">IF($A333&gt;H$160,"",IF($A333=0,H$816,IF(H347&lt;0,OFFSET(H333,-1,0)-H347,IF(OFFSET(H333,-1,0)&gt;H347,OFFSET(H333,-1,0)-H347,0))))</f>
        <v>0</v>
      </c>
      <c r="I333" s="144">
        <f t="shared" ca="1" si="680"/>
        <v>0</v>
      </c>
      <c r="J333" s="144">
        <f t="shared" ca="1" si="680"/>
        <v>0</v>
      </c>
      <c r="K333" s="144">
        <f t="shared" ca="1" si="680"/>
        <v>0</v>
      </c>
      <c r="L333" s="144">
        <f t="shared" ref="L333:M333" ca="1" si="681">IF($A333&gt;L$160,"",IF($A333=0,L$816,IF(L347&lt;0,OFFSET(L333,-1,0)-L347,IF(OFFSET(L333,-1,0)&gt;L347,OFFSET(L333,-1,0)-L347,0))))</f>
        <v>0</v>
      </c>
      <c r="M333" s="144">
        <f t="shared" ca="1" si="681"/>
        <v>0</v>
      </c>
    </row>
    <row r="334" spans="1:13" ht="15" customHeight="1">
      <c r="A334" s="10">
        <f t="shared" si="672"/>
        <v>2</v>
      </c>
      <c r="B334" s="41">
        <f t="shared" ca="1" si="673"/>
        <v>0</v>
      </c>
      <c r="C334" s="144">
        <f t="shared" ca="1" si="673"/>
        <v>0</v>
      </c>
      <c r="D334" s="144">
        <f t="shared" ref="D334:E334" ca="1" si="682">IF($A334&gt;D$160,"",IF($A334=0,D$816,IF(D348&lt;0,OFFSET(D334,-1,0)-D348,IF(OFFSET(D334,-1,0)&gt;D348,OFFSET(D334,-1,0)-D348,0))))</f>
        <v>0</v>
      </c>
      <c r="E334" s="144">
        <f t="shared" ca="1" si="682"/>
        <v>0</v>
      </c>
      <c r="F334" s="144">
        <f t="shared" ref="F334:G334" ca="1" si="683">IF($A334&gt;F$160,"",IF($A334=0,F$816,IF(F348&lt;0,OFFSET(F334,-1,0)-F348,IF(OFFSET(F334,-1,0)&gt;F348,OFFSET(F334,-1,0)-F348,0))))</f>
        <v>0</v>
      </c>
      <c r="G334" s="144">
        <f t="shared" ca="1" si="683"/>
        <v>0</v>
      </c>
      <c r="H334" s="144">
        <f t="shared" ref="H334:K334" ca="1" si="684">IF($A334&gt;H$160,"",IF($A334=0,H$816,IF(H348&lt;0,OFFSET(H334,-1,0)-H348,IF(OFFSET(H334,-1,0)&gt;H348,OFFSET(H334,-1,0)-H348,0))))</f>
        <v>0</v>
      </c>
      <c r="I334" s="144">
        <f t="shared" ca="1" si="684"/>
        <v>0</v>
      </c>
      <c r="J334" s="144">
        <f t="shared" ca="1" si="684"/>
        <v>0</v>
      </c>
      <c r="K334" s="144">
        <f t="shared" ca="1" si="684"/>
        <v>0</v>
      </c>
      <c r="L334" s="144">
        <f t="shared" ref="L334:M334" ca="1" si="685">IF($A334&gt;L$160,"",IF($A334=0,L$816,IF(L348&lt;0,OFFSET(L334,-1,0)-L348,IF(OFFSET(L334,-1,0)&gt;L348,OFFSET(L334,-1,0)-L348,0))))</f>
        <v>0</v>
      </c>
      <c r="M334" s="144">
        <f t="shared" ca="1" si="685"/>
        <v>0</v>
      </c>
    </row>
    <row r="335" spans="1:13" ht="15" customHeight="1">
      <c r="A335" s="10">
        <f t="shared" si="672"/>
        <v>3</v>
      </c>
      <c r="B335" s="41">
        <f t="shared" ca="1" si="673"/>
        <v>0</v>
      </c>
      <c r="C335" s="144">
        <f t="shared" ca="1" si="673"/>
        <v>0</v>
      </c>
      <c r="D335" s="144">
        <f t="shared" ref="D335:E335" ca="1" si="686">IF($A335&gt;D$160,"",IF($A335=0,D$816,IF(D349&lt;0,OFFSET(D335,-1,0)-D349,IF(OFFSET(D335,-1,0)&gt;D349,OFFSET(D335,-1,0)-D349,0))))</f>
        <v>0</v>
      </c>
      <c r="E335" s="144">
        <f t="shared" ca="1" si="686"/>
        <v>0</v>
      </c>
      <c r="F335" s="144">
        <f t="shared" ref="F335:G335" ca="1" si="687">IF($A335&gt;F$160,"",IF($A335=0,F$816,IF(F349&lt;0,OFFSET(F335,-1,0)-F349,IF(OFFSET(F335,-1,0)&gt;F349,OFFSET(F335,-1,0)-F349,0))))</f>
        <v>0</v>
      </c>
      <c r="G335" s="144">
        <f t="shared" ca="1" si="687"/>
        <v>0</v>
      </c>
      <c r="H335" s="144">
        <f t="shared" ref="H335:K335" ca="1" si="688">IF($A335&gt;H$160,"",IF($A335=0,H$816,IF(H349&lt;0,OFFSET(H335,-1,0)-H349,IF(OFFSET(H335,-1,0)&gt;H349,OFFSET(H335,-1,0)-H349,0))))</f>
        <v>0</v>
      </c>
      <c r="I335" s="144">
        <f t="shared" ca="1" si="688"/>
        <v>0</v>
      </c>
      <c r="J335" s="144">
        <f t="shared" ca="1" si="688"/>
        <v>0</v>
      </c>
      <c r="K335" s="144">
        <f t="shared" ca="1" si="688"/>
        <v>0</v>
      </c>
      <c r="L335" s="144">
        <f t="shared" ref="L335:M335" ca="1" si="689">IF($A335&gt;L$160,"",IF($A335=0,L$816,IF(L349&lt;0,OFFSET(L335,-1,0)-L349,IF(OFFSET(L335,-1,0)&gt;L349,OFFSET(L335,-1,0)-L349,0))))</f>
        <v>0</v>
      </c>
      <c r="M335" s="144">
        <f t="shared" ca="1" si="689"/>
        <v>0</v>
      </c>
    </row>
    <row r="336" spans="1:13" ht="15" customHeight="1">
      <c r="A336" s="10">
        <f t="shared" si="672"/>
        <v>4</v>
      </c>
      <c r="B336" s="41">
        <f t="shared" ca="1" si="673"/>
        <v>0</v>
      </c>
      <c r="C336" s="144">
        <f t="shared" ca="1" si="673"/>
        <v>0</v>
      </c>
      <c r="D336" s="144">
        <f t="shared" ref="D336:E336" ca="1" si="690">IF($A336&gt;D$160,"",IF($A336=0,D$816,IF(D350&lt;0,OFFSET(D336,-1,0)-D350,IF(OFFSET(D336,-1,0)&gt;D350,OFFSET(D336,-1,0)-D350,0))))</f>
        <v>0</v>
      </c>
      <c r="E336" s="144">
        <f t="shared" ca="1" si="690"/>
        <v>0</v>
      </c>
      <c r="F336" s="144">
        <f t="shared" ref="F336:G336" ca="1" si="691">IF($A336&gt;F$160,"",IF($A336=0,F$816,IF(F350&lt;0,OFFSET(F336,-1,0)-F350,IF(OFFSET(F336,-1,0)&gt;F350,OFFSET(F336,-1,0)-F350,0))))</f>
        <v>0</v>
      </c>
      <c r="G336" s="144">
        <f t="shared" ca="1" si="691"/>
        <v>0</v>
      </c>
      <c r="H336" s="144">
        <f t="shared" ref="H336:K336" ca="1" si="692">IF($A336&gt;H$160,"",IF($A336=0,H$816,IF(H350&lt;0,OFFSET(H336,-1,0)-H350,IF(OFFSET(H336,-1,0)&gt;H350,OFFSET(H336,-1,0)-H350,0))))</f>
        <v>0</v>
      </c>
      <c r="I336" s="144">
        <f t="shared" ca="1" si="692"/>
        <v>0</v>
      </c>
      <c r="J336" s="144">
        <f t="shared" ca="1" si="692"/>
        <v>0</v>
      </c>
      <c r="K336" s="144">
        <f t="shared" ca="1" si="692"/>
        <v>0</v>
      </c>
      <c r="L336" s="144">
        <f t="shared" ref="L336:M336" ca="1" si="693">IF($A336&gt;L$160,"",IF($A336=0,L$816,IF(L350&lt;0,OFFSET(L336,-1,0)-L350,IF(OFFSET(L336,-1,0)&gt;L350,OFFSET(L336,-1,0)-L350,0))))</f>
        <v>0</v>
      </c>
      <c r="M336" s="144">
        <f t="shared" ca="1" si="693"/>
        <v>0</v>
      </c>
    </row>
    <row r="337" spans="1:13" ht="15" customHeight="1">
      <c r="A337" s="10">
        <f t="shared" si="672"/>
        <v>5</v>
      </c>
      <c r="B337" s="41">
        <f t="shared" ca="1" si="673"/>
        <v>0</v>
      </c>
      <c r="C337" s="144">
        <f t="shared" ca="1" si="673"/>
        <v>0</v>
      </c>
      <c r="D337" s="144">
        <f t="shared" ref="D337:E337" ca="1" si="694">IF($A337&gt;D$160,"",IF($A337=0,D$816,IF(D351&lt;0,OFFSET(D337,-1,0)-D351,IF(OFFSET(D337,-1,0)&gt;D351,OFFSET(D337,-1,0)-D351,0))))</f>
        <v>0</v>
      </c>
      <c r="E337" s="144">
        <f t="shared" ca="1" si="694"/>
        <v>0</v>
      </c>
      <c r="F337" s="144">
        <f t="shared" ref="F337:G337" ca="1" si="695">IF($A337&gt;F$160,"",IF($A337=0,F$816,IF(F351&lt;0,OFFSET(F337,-1,0)-F351,IF(OFFSET(F337,-1,0)&gt;F351,OFFSET(F337,-1,0)-F351,0))))</f>
        <v>0</v>
      </c>
      <c r="G337" s="144">
        <f t="shared" ca="1" si="695"/>
        <v>0</v>
      </c>
      <c r="H337" s="144">
        <f t="shared" ref="H337:K337" ca="1" si="696">IF($A337&gt;H$160,"",IF($A337=0,H$816,IF(H351&lt;0,OFFSET(H337,-1,0)-H351,IF(OFFSET(H337,-1,0)&gt;H351,OFFSET(H337,-1,0)-H351,0))))</f>
        <v>0</v>
      </c>
      <c r="I337" s="144">
        <f t="shared" ca="1" si="696"/>
        <v>0</v>
      </c>
      <c r="J337" s="144">
        <f t="shared" ca="1" si="696"/>
        <v>0</v>
      </c>
      <c r="K337" s="144">
        <f t="shared" ca="1" si="696"/>
        <v>0</v>
      </c>
      <c r="L337" s="144">
        <f t="shared" ref="L337:M337" ca="1" si="697">IF($A337&gt;L$160,"",IF($A337=0,L$816,IF(L351&lt;0,OFFSET(L337,-1,0)-L351,IF(OFFSET(L337,-1,0)&gt;L351,OFFSET(L337,-1,0)-L351,0))))</f>
        <v>0</v>
      </c>
      <c r="M337" s="144">
        <f t="shared" ca="1" si="697"/>
        <v>0</v>
      </c>
    </row>
    <row r="338" spans="1:13" ht="15" customHeight="1">
      <c r="A338" s="10">
        <f t="shared" si="672"/>
        <v>6</v>
      </c>
      <c r="B338" s="41">
        <f t="shared" ca="1" si="673"/>
        <v>0</v>
      </c>
      <c r="C338" s="144">
        <f t="shared" ca="1" si="673"/>
        <v>0</v>
      </c>
      <c r="D338" s="144">
        <f t="shared" ref="D338:E338" ca="1" si="698">IF($A338&gt;D$160,"",IF($A338=0,D$816,IF(D352&lt;0,OFFSET(D338,-1,0)-D352,IF(OFFSET(D338,-1,0)&gt;D352,OFFSET(D338,-1,0)-D352,0))))</f>
        <v>0</v>
      </c>
      <c r="E338" s="144">
        <f t="shared" ca="1" si="698"/>
        <v>0</v>
      </c>
      <c r="F338" s="144">
        <f t="shared" ref="F338:G338" ca="1" si="699">IF($A338&gt;F$160,"",IF($A338=0,F$816,IF(F352&lt;0,OFFSET(F338,-1,0)-F352,IF(OFFSET(F338,-1,0)&gt;F352,OFFSET(F338,-1,0)-F352,0))))</f>
        <v>0</v>
      </c>
      <c r="G338" s="144">
        <f t="shared" ca="1" si="699"/>
        <v>0</v>
      </c>
      <c r="H338" s="144">
        <f t="shared" ref="H338:K338" ca="1" si="700">IF($A338&gt;H$160,"",IF($A338=0,H$816,IF(H352&lt;0,OFFSET(H338,-1,0)-H352,IF(OFFSET(H338,-1,0)&gt;H352,OFFSET(H338,-1,0)-H352,0))))</f>
        <v>0</v>
      </c>
      <c r="I338" s="144">
        <f t="shared" ca="1" si="700"/>
        <v>0</v>
      </c>
      <c r="J338" s="144">
        <f t="shared" ca="1" si="700"/>
        <v>0</v>
      </c>
      <c r="K338" s="144">
        <f t="shared" ca="1" si="700"/>
        <v>0</v>
      </c>
      <c r="L338" s="144">
        <f t="shared" ref="L338:M338" ca="1" si="701">IF($A338&gt;L$160,"",IF($A338=0,L$816,IF(L352&lt;0,OFFSET(L338,-1,0)-L352,IF(OFFSET(L338,-1,0)&gt;L352,OFFSET(L338,-1,0)-L352,0))))</f>
        <v>0</v>
      </c>
      <c r="M338" s="144">
        <f t="shared" ca="1" si="701"/>
        <v>0</v>
      </c>
    </row>
    <row r="339" spans="1:13" ht="15" customHeight="1">
      <c r="A339" s="10">
        <f t="shared" si="672"/>
        <v>7</v>
      </c>
      <c r="B339" s="41">
        <f t="shared" ca="1" si="673"/>
        <v>0</v>
      </c>
      <c r="C339" s="144">
        <f t="shared" ca="1" si="673"/>
        <v>0</v>
      </c>
      <c r="D339" s="144">
        <f t="shared" ref="D339:E339" ca="1" si="702">IF($A339&gt;D$160,"",IF($A339=0,D$816,IF(D353&lt;0,OFFSET(D339,-1,0)-D353,IF(OFFSET(D339,-1,0)&gt;D353,OFFSET(D339,-1,0)-D353,0))))</f>
        <v>0</v>
      </c>
      <c r="E339" s="144">
        <f t="shared" ca="1" si="702"/>
        <v>0</v>
      </c>
      <c r="F339" s="144">
        <f t="shared" ref="F339:G339" ca="1" si="703">IF($A339&gt;F$160,"",IF($A339=0,F$816,IF(F353&lt;0,OFFSET(F339,-1,0)-F353,IF(OFFSET(F339,-1,0)&gt;F353,OFFSET(F339,-1,0)-F353,0))))</f>
        <v>0</v>
      </c>
      <c r="G339" s="144">
        <f t="shared" ca="1" si="703"/>
        <v>0</v>
      </c>
      <c r="H339" s="144">
        <f t="shared" ref="H339:K339" ca="1" si="704">IF($A339&gt;H$160,"",IF($A339=0,H$816,IF(H353&lt;0,OFFSET(H339,-1,0)-H353,IF(OFFSET(H339,-1,0)&gt;H353,OFFSET(H339,-1,0)-H353,0))))</f>
        <v>0</v>
      </c>
      <c r="I339" s="144">
        <f t="shared" ca="1" si="704"/>
        <v>0</v>
      </c>
      <c r="J339" s="144">
        <f t="shared" ca="1" si="704"/>
        <v>0</v>
      </c>
      <c r="K339" s="144">
        <f t="shared" ca="1" si="704"/>
        <v>0</v>
      </c>
      <c r="L339" s="144">
        <f t="shared" ref="L339:M339" ca="1" si="705">IF($A339&gt;L$160,"",IF($A339=0,L$816,IF(L353&lt;0,OFFSET(L339,-1,0)-L353,IF(OFFSET(L339,-1,0)&gt;L353,OFFSET(L339,-1,0)-L353,0))))</f>
        <v>0</v>
      </c>
      <c r="M339" s="144">
        <f t="shared" ca="1" si="705"/>
        <v>0</v>
      </c>
    </row>
    <row r="340" spans="1:13" ht="15" customHeight="1">
      <c r="A340" s="10">
        <f t="shared" si="672"/>
        <v>8</v>
      </c>
      <c r="B340" s="41">
        <f t="shared" ca="1" si="673"/>
        <v>0</v>
      </c>
      <c r="C340" s="144">
        <f t="shared" ca="1" si="673"/>
        <v>0</v>
      </c>
      <c r="D340" s="144">
        <f t="shared" ref="D340:E340" ca="1" si="706">IF($A340&gt;D$160,"",IF($A340=0,D$816,IF(D354&lt;0,OFFSET(D340,-1,0)-D354,IF(OFFSET(D340,-1,0)&gt;D354,OFFSET(D340,-1,0)-D354,0))))</f>
        <v>0</v>
      </c>
      <c r="E340" s="144">
        <f t="shared" ca="1" si="706"/>
        <v>0</v>
      </c>
      <c r="F340" s="144">
        <f t="shared" ref="F340:G340" ca="1" si="707">IF($A340&gt;F$160,"",IF($A340=0,F$816,IF(F354&lt;0,OFFSET(F340,-1,0)-F354,IF(OFFSET(F340,-1,0)&gt;F354,OFFSET(F340,-1,0)-F354,0))))</f>
        <v>0</v>
      </c>
      <c r="G340" s="144">
        <f t="shared" ca="1" si="707"/>
        <v>0</v>
      </c>
      <c r="H340" s="144">
        <f t="shared" ref="H340:K340" ca="1" si="708">IF($A340&gt;H$160,"",IF($A340=0,H$816,IF(H354&lt;0,OFFSET(H340,-1,0)-H354,IF(OFFSET(H340,-1,0)&gt;H354,OFFSET(H340,-1,0)-H354,0))))</f>
        <v>0</v>
      </c>
      <c r="I340" s="144">
        <f t="shared" ca="1" si="708"/>
        <v>0</v>
      </c>
      <c r="J340" s="144">
        <f t="shared" ca="1" si="708"/>
        <v>0</v>
      </c>
      <c r="K340" s="144">
        <f t="shared" ca="1" si="708"/>
        <v>0</v>
      </c>
      <c r="L340" s="144">
        <f t="shared" ref="L340:M340" ca="1" si="709">IF($A340&gt;L$160,"",IF($A340=0,L$816,IF(L354&lt;0,OFFSET(L340,-1,0)-L354,IF(OFFSET(L340,-1,0)&gt;L354,OFFSET(L340,-1,0)-L354,0))))</f>
        <v>0</v>
      </c>
      <c r="M340" s="144">
        <f t="shared" ca="1" si="709"/>
        <v>0</v>
      </c>
    </row>
    <row r="341" spans="1:13" ht="15" customHeight="1">
      <c r="A341" s="10">
        <f t="shared" si="672"/>
        <v>9</v>
      </c>
      <c r="B341" s="41">
        <f t="shared" ca="1" si="673"/>
        <v>0</v>
      </c>
      <c r="C341" s="144">
        <f t="shared" ca="1" si="673"/>
        <v>0</v>
      </c>
      <c r="D341" s="144">
        <f t="shared" ref="D341:E341" ca="1" si="710">IF($A341&gt;D$160,"",IF($A341=0,D$816,IF(D355&lt;0,OFFSET(D341,-1,0)-D355,IF(OFFSET(D341,-1,0)&gt;D355,OFFSET(D341,-1,0)-D355,0))))</f>
        <v>0</v>
      </c>
      <c r="E341" s="144">
        <f t="shared" ca="1" si="710"/>
        <v>0</v>
      </c>
      <c r="F341" s="144">
        <f t="shared" ref="F341:G341" ca="1" si="711">IF($A341&gt;F$160,"",IF($A341=0,F$816,IF(F355&lt;0,OFFSET(F341,-1,0)-F355,IF(OFFSET(F341,-1,0)&gt;F355,OFFSET(F341,-1,0)-F355,0))))</f>
        <v>0</v>
      </c>
      <c r="G341" s="144">
        <f t="shared" ca="1" si="711"/>
        <v>0</v>
      </c>
      <c r="H341" s="144">
        <f t="shared" ref="H341:K341" ca="1" si="712">IF($A341&gt;H$160,"",IF($A341=0,H$816,IF(H355&lt;0,OFFSET(H341,-1,0)-H355,IF(OFFSET(H341,-1,0)&gt;H355,OFFSET(H341,-1,0)-H355,0))))</f>
        <v>0</v>
      </c>
      <c r="I341" s="144">
        <f t="shared" ca="1" si="712"/>
        <v>0</v>
      </c>
      <c r="J341" s="144">
        <f t="shared" ca="1" si="712"/>
        <v>0</v>
      </c>
      <c r="K341" s="144">
        <f t="shared" ca="1" si="712"/>
        <v>0</v>
      </c>
      <c r="L341" s="144">
        <f t="shared" ref="L341:M341" ca="1" si="713">IF($A341&gt;L$160,"",IF($A341=0,L$816,IF(L355&lt;0,OFFSET(L341,-1,0)-L355,IF(OFFSET(L341,-1,0)&gt;L355,OFFSET(L341,-1,0)-L355,0))))</f>
        <v>0</v>
      </c>
      <c r="M341" s="144">
        <f t="shared" ca="1" si="713"/>
        <v>0</v>
      </c>
    </row>
    <row r="342" spans="1:13" ht="15" customHeight="1">
      <c r="A342" s="10">
        <f t="shared" si="672"/>
        <v>10</v>
      </c>
      <c r="B342" s="41">
        <f t="shared" ca="1" si="673"/>
        <v>0</v>
      </c>
      <c r="C342" s="144">
        <f t="shared" ca="1" si="673"/>
        <v>0</v>
      </c>
      <c r="D342" s="144">
        <f t="shared" ref="D342:E342" ca="1" si="714">IF($A342&gt;D$160,"",IF($A342=0,D$816,IF(D356&lt;0,OFFSET(D342,-1,0)-D356,IF(OFFSET(D342,-1,0)&gt;D356,OFFSET(D342,-1,0)-D356,0))))</f>
        <v>0</v>
      </c>
      <c r="E342" s="144">
        <f t="shared" ca="1" si="714"/>
        <v>0</v>
      </c>
      <c r="F342" s="144">
        <f t="shared" ref="F342:G342" ca="1" si="715">IF($A342&gt;F$160,"",IF($A342=0,F$816,IF(F356&lt;0,OFFSET(F342,-1,0)-F356,IF(OFFSET(F342,-1,0)&gt;F356,OFFSET(F342,-1,0)-F356,0))))</f>
        <v>0</v>
      </c>
      <c r="G342" s="144">
        <f t="shared" ca="1" si="715"/>
        <v>0</v>
      </c>
      <c r="H342" s="144">
        <f t="shared" ref="H342:K342" ca="1" si="716">IF($A342&gt;H$160,"",IF($A342=0,H$816,IF(H356&lt;0,OFFSET(H342,-1,0)-H356,IF(OFFSET(H342,-1,0)&gt;H356,OFFSET(H342,-1,0)-H356,0))))</f>
        <v>0</v>
      </c>
      <c r="I342" s="144">
        <f t="shared" ca="1" si="716"/>
        <v>0</v>
      </c>
      <c r="J342" s="144">
        <f t="shared" ca="1" si="716"/>
        <v>0</v>
      </c>
      <c r="K342" s="144">
        <f t="shared" ca="1" si="716"/>
        <v>0</v>
      </c>
      <c r="L342" s="144">
        <f t="shared" ref="L342:M342" ca="1" si="717">IF($A342&gt;L$160,"",IF($A342=0,L$816,IF(L356&lt;0,OFFSET(L342,-1,0)-L356,IF(OFFSET(L342,-1,0)&gt;L356,OFFSET(L342,-1,0)-L356,0))))</f>
        <v>0</v>
      </c>
      <c r="M342" s="144">
        <f t="shared" ca="1" si="717"/>
        <v>0</v>
      </c>
    </row>
    <row r="343" spans="1:13" ht="15" customHeight="1">
      <c r="C343" s="145"/>
      <c r="D343" s="145"/>
      <c r="E343" s="145"/>
      <c r="F343" s="145"/>
      <c r="G343" s="145"/>
      <c r="H343" s="145"/>
      <c r="I343" s="145"/>
      <c r="J343" s="145"/>
      <c r="K343" s="145"/>
      <c r="L343" s="145"/>
      <c r="M343" s="145"/>
    </row>
    <row r="344" spans="1:13" ht="15" customHeight="1">
      <c r="C344" s="145"/>
      <c r="D344" s="145"/>
      <c r="E344" s="145"/>
      <c r="F344" s="145"/>
      <c r="G344" s="145"/>
      <c r="H344" s="145"/>
      <c r="I344" s="145"/>
      <c r="J344" s="145"/>
      <c r="K344" s="145"/>
      <c r="L344" s="145"/>
      <c r="M344" s="145"/>
    </row>
    <row r="345" spans="1:13" ht="15" customHeight="1">
      <c r="A345" s="106" t="str">
        <f>A153</f>
        <v>EBIT (Operating income)</v>
      </c>
      <c r="B345" s="94"/>
      <c r="C345" s="144"/>
      <c r="D345" s="144"/>
      <c r="E345" s="144"/>
      <c r="F345" s="144"/>
      <c r="G345" s="144"/>
      <c r="H345" s="144"/>
      <c r="I345" s="144"/>
      <c r="J345" s="144"/>
      <c r="K345" s="144"/>
      <c r="L345" s="144"/>
      <c r="M345" s="144"/>
    </row>
    <row r="346" spans="1:13" ht="15" customHeight="1">
      <c r="A346" s="10">
        <f t="shared" ref="A346:A356" si="718">A332</f>
        <v>0</v>
      </c>
      <c r="B346" s="41">
        <f t="shared" ref="B346:C356" ca="1" si="719">IF($A346&gt;B$160,"",IF($A346=0,B$819+B$644+B$709,B360*B374))</f>
        <v>69288.222301913207</v>
      </c>
      <c r="C346" s="144">
        <f t="shared" ca="1" si="719"/>
        <v>63905.762144391803</v>
      </c>
      <c r="D346" s="144">
        <f t="shared" ref="D346:E346" ca="1" si="720">IF($A346&gt;D$160,"",IF($A346=0,D$819+D$644+D$709,D360*D374))</f>
        <v>57021.12294759621</v>
      </c>
      <c r="E346" s="144">
        <f t="shared" ca="1" si="720"/>
        <v>55328.63680370614</v>
      </c>
      <c r="F346" s="144">
        <f t="shared" ref="F346:G346" ca="1" si="721">IF($A346&gt;F$160,"",IF($A346=0,F$819+F$644+F$709,F360*F374))</f>
        <v>54168.735736349983</v>
      </c>
      <c r="G346" s="144">
        <f t="shared" ca="1" si="721"/>
        <v>52831.153927949868</v>
      </c>
      <c r="H346" s="144">
        <f t="shared" ref="H346:K346" ca="1" si="722">IF($A346&gt;H$160,"",IF($A346=0,H$819+H$644+H$709,H360*H374))</f>
        <v>52641.173522258279</v>
      </c>
      <c r="I346" s="144">
        <f t="shared" ca="1" si="722"/>
        <v>52955.028433850719</v>
      </c>
      <c r="J346" s="144">
        <f t="shared" ca="1" si="722"/>
        <v>54259.033973473386</v>
      </c>
      <c r="K346" s="144">
        <f t="shared" ca="1" si="722"/>
        <v>56404.109872450041</v>
      </c>
      <c r="L346" s="144">
        <f t="shared" ref="L346:M346" ca="1" si="723">IF($A346&gt;L$160,"",IF($A346=0,L$819+L$644+L$709,L360*L374))</f>
        <v>55890.391822046877</v>
      </c>
      <c r="M346" s="144">
        <f t="shared" ca="1" si="723"/>
        <v>53696.54066210505</v>
      </c>
    </row>
    <row r="347" spans="1:13" ht="15" customHeight="1">
      <c r="A347" s="10">
        <f t="shared" si="718"/>
        <v>1</v>
      </c>
      <c r="B347" s="41">
        <f t="shared" ca="1" si="719"/>
        <v>70370.040074590754</v>
      </c>
      <c r="C347" s="144">
        <f t="shared" ca="1" si="719"/>
        <v>65010.593367150737</v>
      </c>
      <c r="D347" s="144">
        <f t="shared" ref="D347:E347" ca="1" si="724">IF($A347&gt;D$160,"",IF($A347=0,D$819+D$644+D$709,D361*D375))</f>
        <v>58124.441078950054</v>
      </c>
      <c r="E347" s="144">
        <f t="shared" ca="1" si="724"/>
        <v>56419.348048268948</v>
      </c>
      <c r="F347" s="144">
        <f t="shared" ref="F347:G347" ca="1" si="725">IF($A347&gt;F$160,"",IF($A347=0,F$819+F$644+F$709,F361*F375))</f>
        <v>55278.846649223582</v>
      </c>
      <c r="G347" s="144">
        <f t="shared" ca="1" si="725"/>
        <v>53973.752076561075</v>
      </c>
      <c r="H347" s="144">
        <f t="shared" ref="H347:K347" ca="1" si="726">IF($A347&gt;H$160,"",IF($A347=0,H$819+H$644+H$709,H361*H375))</f>
        <v>53715.79841683375</v>
      </c>
      <c r="I347" s="144">
        <f t="shared" ca="1" si="726"/>
        <v>54489.356869988937</v>
      </c>
      <c r="J347" s="144">
        <f t="shared" ca="1" si="726"/>
        <v>55713.767104932354</v>
      </c>
      <c r="K347" s="144">
        <f t="shared" ca="1" si="726"/>
        <v>57624.917579465291</v>
      </c>
      <c r="L347" s="144">
        <f t="shared" ref="L347:M347" ca="1" si="727">IF($A347&gt;L$160,"",IF($A347=0,L$819+L$644+L$709,L361*L375))</f>
        <v>58296.388198232722</v>
      </c>
      <c r="M347" s="144">
        <f t="shared" ca="1" si="727"/>
        <v>57818.13112356612</v>
      </c>
    </row>
    <row r="348" spans="1:13" ht="15" customHeight="1">
      <c r="A348" s="10">
        <f t="shared" si="718"/>
        <v>2</v>
      </c>
      <c r="B348" s="41">
        <f t="shared" ca="1" si="719"/>
        <v>71427.542113399453</v>
      </c>
      <c r="C348" s="144">
        <f t="shared" ca="1" si="719"/>
        <v>66101.561868299337</v>
      </c>
      <c r="D348" s="144">
        <f t="shared" ref="D348:E348" ca="1" si="728">IF($A348&gt;D$160,"",IF($A348=0,D$819+D$644+D$709,D362*D376))</f>
        <v>59224.79086409606</v>
      </c>
      <c r="E348" s="144">
        <f t="shared" ca="1" si="728"/>
        <v>57508.790373510848</v>
      </c>
      <c r="F348" s="144">
        <f t="shared" ref="F348:G348" ca="1" si="729">IF($A348&gt;F$160,"",IF($A348=0,F$819+F$644+F$709,F362*F376))</f>
        <v>56391.096457948908</v>
      </c>
      <c r="G348" s="144">
        <f t="shared" ca="1" si="729"/>
        <v>55123.228230776469</v>
      </c>
      <c r="H348" s="144">
        <f t="shared" ref="H348:K348" ca="1" si="730">IF($A348&gt;H$160,"",IF($A348=0,H$819+H$644+H$709,H362*H376))</f>
        <v>54792.167425339649</v>
      </c>
      <c r="I348" s="144">
        <f t="shared" ca="1" si="730"/>
        <v>56044.730578656345</v>
      </c>
      <c r="J348" s="144">
        <f t="shared" ca="1" si="730"/>
        <v>57178.325964603537</v>
      </c>
      <c r="K348" s="144">
        <f t="shared" ca="1" si="730"/>
        <v>58826.795782500936</v>
      </c>
      <c r="L348" s="144">
        <f t="shared" ref="L348:M348" ca="1" si="731">IF($A348&gt;L$160,"",IF($A348=0,L$819+L$644+L$709,L362*L376))</f>
        <v>60789.898729001499</v>
      </c>
      <c r="M348" s="144">
        <f t="shared" ca="1" si="731"/>
        <v>62255.518198623482</v>
      </c>
    </row>
    <row r="349" spans="1:13" ht="15" customHeight="1">
      <c r="A349" s="10">
        <f t="shared" si="718"/>
        <v>3</v>
      </c>
      <c r="B349" s="41">
        <f t="shared" ca="1" si="719"/>
        <v>72457.052251193512</v>
      </c>
      <c r="C349" s="144">
        <f t="shared" ca="1" si="719"/>
        <v>67175.790900152395</v>
      </c>
      <c r="D349" s="144">
        <f t="shared" ref="D349:E349" ca="1" si="732">IF($A349&gt;D$160,"",IF($A349=0,D$819+D$644+D$709,D363*D377))</f>
        <v>60320.169526327409</v>
      </c>
      <c r="E349" s="144">
        <f t="shared" ca="1" si="732"/>
        <v>58595.117127894882</v>
      </c>
      <c r="F349" s="144">
        <f t="shared" ref="F349:G349" ca="1" si="733">IF($A349&gt;F$160,"",IF($A349=0,F$819+F$644+F$709,F363*F377))</f>
        <v>57503.880096733505</v>
      </c>
      <c r="G349" s="144">
        <f t="shared" ca="1" si="733"/>
        <v>56278.304474006589</v>
      </c>
      <c r="H349" s="144">
        <f t="shared" ref="H349:K349" ca="1" si="734">IF($A349&gt;H$160,"",IF($A349=0,H$819+H$644+H$709,H363*H377))</f>
        <v>55868.700677059074</v>
      </c>
      <c r="I349" s="144">
        <f t="shared" ca="1" si="734"/>
        <v>57619.41826601552</v>
      </c>
      <c r="J349" s="144">
        <f t="shared" ca="1" si="734"/>
        <v>58650.056292479509</v>
      </c>
      <c r="K349" s="144">
        <f t="shared" ca="1" si="734"/>
        <v>60004.799511891491</v>
      </c>
      <c r="L349" s="144">
        <f t="shared" ref="L349:M349" ca="1" si="735">IF($A349&gt;L$160,"",IF($A349=0,L$819+L$644+L$709,L363*L377))</f>
        <v>63372.763525948896</v>
      </c>
      <c r="M349" s="144">
        <f t="shared" ca="1" si="735"/>
        <v>67032.851166499182</v>
      </c>
    </row>
    <row r="350" spans="1:13" ht="15" customHeight="1">
      <c r="A350" s="10">
        <f t="shared" si="718"/>
        <v>4</v>
      </c>
      <c r="B350" s="41">
        <f t="shared" ca="1" si="719"/>
        <v>73454.639132629658</v>
      </c>
      <c r="C350" s="144">
        <f t="shared" ca="1" si="719"/>
        <v>68230.195755564433</v>
      </c>
      <c r="D350" s="144">
        <f t="shared" ref="D350:E350" ca="1" si="736">IF($A350&gt;D$160,"",IF($A350=0,D$819+D$644+D$709,D364*D378))</f>
        <v>61408.418816154735</v>
      </c>
      <c r="E350" s="144">
        <f t="shared" ca="1" si="736"/>
        <v>59676.335958032003</v>
      </c>
      <c r="F350" s="144">
        <f t="shared" ref="F350:G350" ca="1" si="737">IF($A350&gt;F$160,"",IF($A350=0,F$819+F$644+F$709,F364*F378))</f>
        <v>58615.460672288173</v>
      </c>
      <c r="G350" s="144">
        <f t="shared" ca="1" si="737"/>
        <v>57437.589651525879</v>
      </c>
      <c r="H350" s="144">
        <f t="shared" ref="H350:K350" ca="1" si="738">IF($A350&gt;H$160,"",IF($A350=0,H$819+H$644+H$709,H364*H378))</f>
        <v>56943.689121035517</v>
      </c>
      <c r="I350" s="144">
        <f t="shared" ca="1" si="738"/>
        <v>59211.462895663979</v>
      </c>
      <c r="J350" s="144">
        <f t="shared" ca="1" si="738"/>
        <v>60126.013838231556</v>
      </c>
      <c r="K350" s="144">
        <f t="shared" ca="1" si="738"/>
        <v>61153.536624764856</v>
      </c>
      <c r="L350" s="144">
        <f t="shared" ref="L350:M350" ca="1" si="739">IF($A350&gt;L$160,"",IF($A350=0,L$819+L$644+L$709,L364*L378))</f>
        <v>66046.728463105566</v>
      </c>
      <c r="M350" s="144">
        <f t="shared" ca="1" si="739"/>
        <v>72176.122092763821</v>
      </c>
    </row>
    <row r="351" spans="1:13" ht="15" customHeight="1">
      <c r="A351" s="10">
        <f t="shared" si="718"/>
        <v>5</v>
      </c>
      <c r="B351" s="41">
        <f t="shared" ca="1" si="719"/>
        <v>74416.101680978769</v>
      </c>
      <c r="C351" s="144">
        <f t="shared" ca="1" si="719"/>
        <v>69261.471733969171</v>
      </c>
      <c r="D351" s="144">
        <f t="shared" ref="D351:E351" ca="1" si="740">IF($A351&gt;D$160,"",IF($A351=0,D$819+D$644+D$709,D365*D379))</f>
        <v>62487.215777926103</v>
      </c>
      <c r="E351" s="144">
        <f t="shared" ca="1" si="740"/>
        <v>60750.30010717547</v>
      </c>
      <c r="F351" s="144">
        <f t="shared" ref="F351:G351" ca="1" si="741">IF($A351&gt;F$160,"",IF($A351=0,F$819+F$644+F$709,F365*F379))</f>
        <v>59723.961485732412</v>
      </c>
      <c r="G351" s="144">
        <f t="shared" ca="1" si="741"/>
        <v>58599.572356088305</v>
      </c>
      <c r="H351" s="144">
        <f t="shared" ref="H351:K351" ca="1" si="742">IF($A351&gt;H$160,"",IF($A351=0,H$819+H$644+H$709,H365*H379))</f>
        <v>58015.286719446784</v>
      </c>
      <c r="I351" s="144">
        <f t="shared" ca="1" si="742"/>
        <v>60818.663442612225</v>
      </c>
      <c r="J351" s="144">
        <f t="shared" ca="1" si="742"/>
        <v>61602.941997827613</v>
      </c>
      <c r="K351" s="144">
        <f t="shared" ca="1" si="742"/>
        <v>62267.135450145812</v>
      </c>
      <c r="L351" s="144">
        <f t="shared" ref="L351:M351" ca="1" si="743">IF($A351&gt;L$160,"",IF($A351=0,L$819+L$644+L$709,L365*L379))</f>
        <v>68813.427244027625</v>
      </c>
      <c r="M351" s="144">
        <f t="shared" ca="1" si="743"/>
        <v>77713.306119765199</v>
      </c>
    </row>
    <row r="352" spans="1:13" ht="15" customHeight="1">
      <c r="A352" s="10">
        <f t="shared" si="718"/>
        <v>6</v>
      </c>
      <c r="B352" s="41">
        <f t="shared" ca="1" si="719"/>
        <v>75039.952358061113</v>
      </c>
      <c r="C352" s="144">
        <f t="shared" ca="1" si="719"/>
        <v>69995.827317908785</v>
      </c>
      <c r="D352" s="144">
        <f t="shared" ref="D352:E352" ca="1" si="744">IF($A352&gt;D$160,"",IF($A352=0,D$819+D$644+D$709,D366*D380))</f>
        <v>63368.289611532702</v>
      </c>
      <c r="E352" s="144">
        <f t="shared" ca="1" si="744"/>
        <v>61648.275060427164</v>
      </c>
      <c r="F352" s="144">
        <f t="shared" ref="F352:G352" ca="1" si="745">IF($A352&gt;F$160,"",IF($A352=0,F$819+F$644+F$709,F366*F380))</f>
        <v>60675.289233108604</v>
      </c>
      <c r="G352" s="144">
        <f t="shared" ca="1" si="745"/>
        <v>59615.505561798316</v>
      </c>
      <c r="H352" s="144">
        <f t="shared" ref="H352:K352" ca="1" si="746">IF($A352&gt;H$160,"",IF($A352=0,H$819+H$644+H$709,H366*H380))</f>
        <v>58972.428680571487</v>
      </c>
      <c r="I352" s="144">
        <f t="shared" ca="1" si="746"/>
        <v>62200.694223637045</v>
      </c>
      <c r="J352" s="144">
        <f t="shared" ca="1" si="746"/>
        <v>62686.769737261871</v>
      </c>
      <c r="K352" s="144">
        <f t="shared" ca="1" si="746"/>
        <v>62944.69752081731</v>
      </c>
      <c r="L352" s="144">
        <f t="shared" ref="L352:M352" ca="1" si="747">IF($A352&gt;L$160,"",IF($A352=0,L$819+L$644+L$709,L366*L380))</f>
        <v>71106.376148728988</v>
      </c>
      <c r="M352" s="144">
        <f t="shared" ca="1" si="747"/>
        <v>82693.661180890602</v>
      </c>
    </row>
    <row r="353" spans="1:13" ht="15" customHeight="1">
      <c r="A353" s="10">
        <f t="shared" si="718"/>
        <v>7</v>
      </c>
      <c r="B353" s="41">
        <f t="shared" ca="1" si="719"/>
        <v>75313.419011312842</v>
      </c>
      <c r="C353" s="144">
        <f t="shared" ca="1" si="719"/>
        <v>70420.346556847129</v>
      </c>
      <c r="D353" s="144">
        <f t="shared" ref="D353:E353" ca="1" si="748">IF($A353&gt;D$160,"",IF($A353=0,D$819+D$644+D$709,D367*D381))</f>
        <v>64040.835185410724</v>
      </c>
      <c r="E353" s="144">
        <f t="shared" ca="1" si="748"/>
        <v>62360.188906121337</v>
      </c>
      <c r="F353" s="144">
        <f t="shared" ref="F353:G353" ca="1" si="749">IF($A353&gt;F$160,"",IF($A353=0,F$819+F$644+F$709,F367*F381))</f>
        <v>61459.815161486345</v>
      </c>
      <c r="G353" s="144">
        <f t="shared" ca="1" si="749"/>
        <v>60475.769759250346</v>
      </c>
      <c r="H353" s="144">
        <f t="shared" ref="H353:K353" ca="1" si="750">IF($A353&gt;H$160,"",IF($A353=0,H$819+H$644+H$709,H367*H381))</f>
        <v>59807.516326026525</v>
      </c>
      <c r="I353" s="144">
        <f t="shared" ca="1" si="750"/>
        <v>63338.03927872637</v>
      </c>
      <c r="J353" s="144">
        <f t="shared" ca="1" si="750"/>
        <v>63351.231671282869</v>
      </c>
      <c r="K353" s="144">
        <f t="shared" ca="1" si="750"/>
        <v>63165.153400173222</v>
      </c>
      <c r="L353" s="144">
        <f t="shared" ref="L353:M353" ca="1" si="751">IF($A353&gt;L$160,"",IF($A353=0,L$819+L$644+L$709,L367*L381))</f>
        <v>72866.009663008488</v>
      </c>
      <c r="M353" s="144">
        <f t="shared" ca="1" si="751"/>
        <v>86948.665272639584</v>
      </c>
    </row>
    <row r="354" spans="1:13" ht="15" customHeight="1">
      <c r="A354" s="10">
        <f t="shared" si="718"/>
        <v>8</v>
      </c>
      <c r="B354" s="41">
        <f t="shared" ca="1" si="719"/>
        <v>75228.272220052575</v>
      </c>
      <c r="C354" s="144">
        <f t="shared" ca="1" si="719"/>
        <v>70525.939302617538</v>
      </c>
      <c r="D354" s="144">
        <f t="shared" ref="D354:E354" ca="1" si="752">IF($A354&gt;D$160,"",IF($A354=0,D$819+D$644+D$709,D368*D382))</f>
        <v>64495.902483906095</v>
      </c>
      <c r="E354" s="144">
        <f t="shared" ca="1" si="752"/>
        <v>62877.466395772513</v>
      </c>
      <c r="F354" s="144">
        <f t="shared" ref="F354:G354" ca="1" si="753">IF($A354&gt;F$160,"",IF($A354=0,F$819+F$644+F$709,F368*F382))</f>
        <v>62069.118505542487</v>
      </c>
      <c r="G354" s="144">
        <f t="shared" ca="1" si="753"/>
        <v>61171.819893072723</v>
      </c>
      <c r="H354" s="144">
        <f t="shared" ref="H354:K354" ca="1" si="754">IF($A354&gt;H$160,"",IF($A354=0,H$819+H$644+H$709,H368*H382))</f>
        <v>60513.548861333518</v>
      </c>
      <c r="I354" s="144">
        <f t="shared" ca="1" si="754"/>
        <v>64213.747473127005</v>
      </c>
      <c r="J354" s="144">
        <f t="shared" ca="1" si="754"/>
        <v>63578.019760338459</v>
      </c>
      <c r="K354" s="144">
        <f t="shared" ca="1" si="754"/>
        <v>62916.745221070261</v>
      </c>
      <c r="L354" s="144">
        <f t="shared" ref="L354:M354" ca="1" si="755">IF($A354&gt;L$160,"",IF($A354=0,L$819+L$644+L$709,L368*L382))</f>
        <v>74043.92162858558</v>
      </c>
      <c r="M354" s="144">
        <f t="shared" ca="1" si="755"/>
        <v>90324.356769399616</v>
      </c>
    </row>
    <row r="355" spans="1:13" ht="15" customHeight="1">
      <c r="A355" s="10">
        <f t="shared" si="718"/>
        <v>9</v>
      </c>
      <c r="B355" s="41">
        <f t="shared" ca="1" si="719"/>
        <v>74781.08759402232</v>
      </c>
      <c r="C355" s="144">
        <f t="shared" ca="1" si="719"/>
        <v>70307.59664107133</v>
      </c>
      <c r="D355" s="144">
        <f t="shared" ref="D355:E355" ca="1" si="756">IF($A355&gt;D$160,"",IF($A355=0,D$819+D$644+D$709,D369*D383))</f>
        <v>64726.567935841827</v>
      </c>
      <c r="E355" s="144">
        <f t="shared" ca="1" si="756"/>
        <v>63193.177779170757</v>
      </c>
      <c r="F355" s="144">
        <f t="shared" ref="F355:G355" ca="1" si="757">IF($A355&gt;F$160,"",IF($A355=0,F$819+F$644+F$709,F369*F383))</f>
        <v>62496.118509120177</v>
      </c>
      <c r="G355" s="144">
        <f t="shared" ca="1" si="757"/>
        <v>61696.312752368838</v>
      </c>
      <c r="H355" s="144">
        <f t="shared" ref="H355:K355" ca="1" si="758">IF($A355&gt;H$160,"",IF($A355=0,H$819+H$644+H$709,H369*H383))</f>
        <v>61084.203709893816</v>
      </c>
      <c r="I355" s="144">
        <f t="shared" ca="1" si="758"/>
        <v>64813.818920883867</v>
      </c>
      <c r="J355" s="144">
        <f t="shared" ca="1" si="758"/>
        <v>63357.537570221997</v>
      </c>
      <c r="K355" s="144">
        <f t="shared" ca="1" si="758"/>
        <v>62197.64489328106</v>
      </c>
      <c r="L355" s="144">
        <f t="shared" ref="L355:M355" ca="1" si="759">IF($A355&gt;L$160,"",IF($A355=0,L$819+L$644+L$709,L369*L383))</f>
        <v>74605.009404378259</v>
      </c>
      <c r="M355" s="144">
        <f t="shared" ca="1" si="759"/>
        <v>92690.22957412056</v>
      </c>
    </row>
    <row r="356" spans="1:13" ht="15" customHeight="1">
      <c r="A356" s="10">
        <f t="shared" si="718"/>
        <v>10</v>
      </c>
      <c r="B356" s="41">
        <f t="shared" ca="1" si="719"/>
        <v>73973.406800599012</v>
      </c>
      <c r="C356" s="144">
        <f t="shared" ca="1" si="719"/>
        <v>69764.564064987557</v>
      </c>
      <c r="D356" s="144">
        <f t="shared" ref="D356:E356" ca="1" si="760">IF($A356&gt;D$160,"",IF($A356=0,D$819+D$644+D$709,D370*D384))</f>
        <v>64728.076815698711</v>
      </c>
      <c r="E356" s="144">
        <f t="shared" ca="1" si="760"/>
        <v>63302.1666017604</v>
      </c>
      <c r="F356" s="144">
        <f t="shared" ref="F356:G356" ca="1" si="761">IF($A356&gt;F$160,"",IF($A356=0,F$819+F$644+F$709,F370*F384))</f>
        <v>62735.191165267017</v>
      </c>
      <c r="G356" s="144">
        <f t="shared" ca="1" si="761"/>
        <v>62043.221288891902</v>
      </c>
      <c r="H356" s="144">
        <f t="shared" ref="H356:K356" ca="1" si="762">IF($A356&gt;H$160,"",IF($A356=0,H$819+H$644+H$709,H370*H384))</f>
        <v>61513.912103297182</v>
      </c>
      <c r="I356" s="144">
        <f t="shared" ca="1" si="762"/>
        <v>65127.541643191042</v>
      </c>
      <c r="J356" s="144">
        <f t="shared" ca="1" si="762"/>
        <v>62689.378606709914</v>
      </c>
      <c r="K356" s="144">
        <f t="shared" ca="1" si="762"/>
        <v>61016.239301339534</v>
      </c>
      <c r="L356" s="144">
        <f t="shared" ref="L356:M356" ca="1" si="763">IF($A356&gt;L$160,"",IF($A356=0,L$819+L$644+L$709,L370*L384))</f>
        <v>74529.14172686146</v>
      </c>
      <c r="M356" s="144">
        <f t="shared" ca="1" si="763"/>
        <v>93947.329057802242</v>
      </c>
    </row>
    <row r="357" spans="1:13" ht="15" customHeight="1">
      <c r="C357" s="145"/>
      <c r="D357" s="145"/>
      <c r="E357" s="145"/>
      <c r="F357" s="145"/>
      <c r="G357" s="145"/>
      <c r="H357" s="145"/>
      <c r="I357" s="145"/>
      <c r="J357" s="145"/>
      <c r="K357" s="145"/>
      <c r="L357" s="145"/>
      <c r="M357" s="145"/>
    </row>
    <row r="358" spans="1:13" ht="15" customHeight="1">
      <c r="C358" s="145"/>
      <c r="D358" s="145"/>
      <c r="E358" s="145"/>
      <c r="F358" s="145"/>
      <c r="G358" s="145"/>
      <c r="H358" s="145"/>
      <c r="I358" s="145"/>
      <c r="J358" s="145"/>
      <c r="K358" s="145"/>
      <c r="L358" s="145"/>
      <c r="M358" s="145"/>
    </row>
    <row r="359" spans="1:13" ht="15" customHeight="1">
      <c r="A359" s="106" t="s">
        <v>395</v>
      </c>
      <c r="B359" s="5"/>
      <c r="C359" s="149"/>
      <c r="D359" s="149"/>
      <c r="E359" s="149"/>
      <c r="F359" s="149"/>
      <c r="G359" s="149"/>
      <c r="H359" s="149"/>
      <c r="I359" s="149"/>
      <c r="J359" s="149"/>
      <c r="K359" s="149"/>
      <c r="L359" s="149"/>
      <c r="M359" s="149"/>
    </row>
    <row r="360" spans="1:13" ht="15" customHeight="1">
      <c r="A360" s="10">
        <f t="shared" ref="A360:A370" si="764">A346</f>
        <v>0</v>
      </c>
      <c r="B360" s="7">
        <f t="shared" ref="B360:M370" ca="1" si="765">IF($A360&gt;B$160,"",IF($A360=0,B$346/B$374,B$810-((B$810-B$360)/B$160)*(B$160-$A360)))</f>
        <v>0.32657860099693259</v>
      </c>
      <c r="C360" s="149">
        <f t="shared" ca="1" si="765"/>
        <v>0.31984865938134038</v>
      </c>
      <c r="D360" s="149">
        <f t="shared" ca="1" si="765"/>
        <v>0.31194027707320338</v>
      </c>
      <c r="E360" s="149">
        <f t="shared" ca="1" si="765"/>
        <v>0.31058377943521048</v>
      </c>
      <c r="F360" s="149">
        <f t="shared" ca="1" si="765"/>
        <v>0.30771571412702009</v>
      </c>
      <c r="G360" s="149">
        <f t="shared" ca="1" si="765"/>
        <v>0.30364128194370932</v>
      </c>
      <c r="H360" s="149">
        <f t="shared" ca="1" si="765"/>
        <v>0.30800522802795788</v>
      </c>
      <c r="I360" s="149">
        <f t="shared" ca="1" si="765"/>
        <v>0.31259609238182523</v>
      </c>
      <c r="J360" s="149">
        <f t="shared" ca="1" si="765"/>
        <v>0.32086191913540418</v>
      </c>
      <c r="K360" s="149">
        <f t="shared" ca="1" si="765"/>
        <v>0.34249278857742288</v>
      </c>
      <c r="L360" s="149">
        <f t="shared" ca="1" si="765"/>
        <v>0.3571088495287581</v>
      </c>
      <c r="M360" s="149">
        <f t="shared" ca="1" si="765"/>
        <v>0.36083474895912326</v>
      </c>
    </row>
    <row r="361" spans="1:13" ht="15" customHeight="1">
      <c r="A361" s="10">
        <f t="shared" si="764"/>
        <v>1</v>
      </c>
      <c r="B361" s="7">
        <f t="shared" ca="1" si="765"/>
        <v>0.31892074089723932</v>
      </c>
      <c r="C361" s="149">
        <f t="shared" ca="1" si="765"/>
        <v>0.31286379344320636</v>
      </c>
      <c r="D361" s="149">
        <f t="shared" ca="1" si="765"/>
        <v>0.30574624936588302</v>
      </c>
      <c r="E361" s="149">
        <f t="shared" ca="1" si="765"/>
        <v>0.30452540149168944</v>
      </c>
      <c r="F361" s="149">
        <f t="shared" ca="1" si="765"/>
        <v>0.30194414271431808</v>
      </c>
      <c r="G361" s="149">
        <f t="shared" ca="1" si="765"/>
        <v>0.29827715374933839</v>
      </c>
      <c r="H361" s="149">
        <f t="shared" ca="1" si="765"/>
        <v>0.30220470522516207</v>
      </c>
      <c r="I361" s="149">
        <f t="shared" ca="1" si="765"/>
        <v>0.3063364831436427</v>
      </c>
      <c r="J361" s="149">
        <f t="shared" ca="1" si="765"/>
        <v>0.31377572722186375</v>
      </c>
      <c r="K361" s="149">
        <f t="shared" ca="1" si="765"/>
        <v>0.33324350971968059</v>
      </c>
      <c r="L361" s="149">
        <f t="shared" ca="1" si="765"/>
        <v>0.35139796457588229</v>
      </c>
      <c r="M361" s="149">
        <f t="shared" ca="1" si="765"/>
        <v>0.35975127406321095</v>
      </c>
    </row>
    <row r="362" spans="1:13" ht="15" customHeight="1">
      <c r="A362" s="10">
        <f t="shared" si="764"/>
        <v>2</v>
      </c>
      <c r="B362" s="7">
        <f t="shared" ca="1" si="765"/>
        <v>0.31126288079754605</v>
      </c>
      <c r="C362" s="149">
        <f t="shared" ca="1" si="765"/>
        <v>0.30587892750507228</v>
      </c>
      <c r="D362" s="149">
        <f t="shared" ca="1" si="765"/>
        <v>0.29955222165856271</v>
      </c>
      <c r="E362" s="149">
        <f t="shared" ca="1" si="765"/>
        <v>0.2984670235481684</v>
      </c>
      <c r="F362" s="149">
        <f t="shared" ca="1" si="765"/>
        <v>0.29617257130161606</v>
      </c>
      <c r="G362" s="149">
        <f t="shared" ca="1" si="765"/>
        <v>0.29291302555496745</v>
      </c>
      <c r="H362" s="149">
        <f t="shared" ca="1" si="765"/>
        <v>0.29640418242236632</v>
      </c>
      <c r="I362" s="149">
        <f t="shared" ca="1" si="765"/>
        <v>0.30007687390546017</v>
      </c>
      <c r="J362" s="149">
        <f t="shared" ca="1" si="765"/>
        <v>0.30668953530832332</v>
      </c>
      <c r="K362" s="149">
        <f t="shared" ca="1" si="765"/>
        <v>0.32399423086193829</v>
      </c>
      <c r="L362" s="149">
        <f t="shared" ca="1" si="765"/>
        <v>0.34568707962300649</v>
      </c>
      <c r="M362" s="149">
        <f t="shared" ca="1" si="765"/>
        <v>0.35866779916729863</v>
      </c>
    </row>
    <row r="363" spans="1:13" ht="15" customHeight="1">
      <c r="A363" s="10">
        <f t="shared" si="764"/>
        <v>3</v>
      </c>
      <c r="B363" s="7">
        <f t="shared" ca="1" si="765"/>
        <v>0.30360502069785283</v>
      </c>
      <c r="C363" s="149">
        <f t="shared" ca="1" si="765"/>
        <v>0.29889406156693826</v>
      </c>
      <c r="D363" s="149">
        <f t="shared" ca="1" si="765"/>
        <v>0.29335819395124235</v>
      </c>
      <c r="E363" s="149">
        <f t="shared" ca="1" si="765"/>
        <v>0.29240864560464735</v>
      </c>
      <c r="F363" s="149">
        <f t="shared" ca="1" si="765"/>
        <v>0.29040099988891405</v>
      </c>
      <c r="G363" s="149">
        <f t="shared" ca="1" si="765"/>
        <v>0.28754889736059652</v>
      </c>
      <c r="H363" s="149">
        <f t="shared" ca="1" si="765"/>
        <v>0.29060365961957052</v>
      </c>
      <c r="I363" s="149">
        <f t="shared" ca="1" si="765"/>
        <v>0.29381726466727764</v>
      </c>
      <c r="J363" s="149">
        <f t="shared" ca="1" si="765"/>
        <v>0.29960334339478295</v>
      </c>
      <c r="K363" s="149">
        <f t="shared" ca="1" si="765"/>
        <v>0.314744952004196</v>
      </c>
      <c r="L363" s="149">
        <f t="shared" ca="1" si="765"/>
        <v>0.33997619467013068</v>
      </c>
      <c r="M363" s="149">
        <f t="shared" ca="1" si="765"/>
        <v>0.35758432427138626</v>
      </c>
    </row>
    <row r="364" spans="1:13" ht="15" customHeight="1">
      <c r="A364" s="10">
        <f t="shared" si="764"/>
        <v>4</v>
      </c>
      <c r="B364" s="7">
        <f t="shared" ca="1" si="765"/>
        <v>0.29594716059815956</v>
      </c>
      <c r="C364" s="149">
        <f t="shared" ca="1" si="765"/>
        <v>0.29190919562880424</v>
      </c>
      <c r="D364" s="149">
        <f t="shared" ca="1" si="765"/>
        <v>0.28716416624392205</v>
      </c>
      <c r="E364" s="149">
        <f t="shared" ca="1" si="765"/>
        <v>0.28635026766112626</v>
      </c>
      <c r="F364" s="149">
        <f t="shared" ca="1" si="765"/>
        <v>0.28462942847621209</v>
      </c>
      <c r="G364" s="149">
        <f t="shared" ca="1" si="765"/>
        <v>0.28218476916622559</v>
      </c>
      <c r="H364" s="149">
        <f t="shared" ca="1" si="765"/>
        <v>0.28480313681677472</v>
      </c>
      <c r="I364" s="149">
        <f t="shared" ca="1" si="765"/>
        <v>0.28755765542909517</v>
      </c>
      <c r="J364" s="149">
        <f t="shared" ca="1" si="765"/>
        <v>0.29251715148124252</v>
      </c>
      <c r="K364" s="149">
        <f t="shared" ca="1" si="765"/>
        <v>0.30549567314645376</v>
      </c>
      <c r="L364" s="149">
        <f t="shared" ca="1" si="765"/>
        <v>0.33426530971725488</v>
      </c>
      <c r="M364" s="149">
        <f t="shared" ca="1" si="765"/>
        <v>0.35650084937547394</v>
      </c>
    </row>
    <row r="365" spans="1:13" ht="15" customHeight="1">
      <c r="A365" s="10">
        <f t="shared" si="764"/>
        <v>5</v>
      </c>
      <c r="B365" s="7">
        <f t="shared" ca="1" si="765"/>
        <v>0.28828930049846629</v>
      </c>
      <c r="C365" s="149">
        <f t="shared" ca="1" si="765"/>
        <v>0.28492432969067016</v>
      </c>
      <c r="D365" s="149">
        <f t="shared" ca="1" si="765"/>
        <v>0.28097013853660169</v>
      </c>
      <c r="E365" s="149">
        <f t="shared" ca="1" si="765"/>
        <v>0.28029188971760521</v>
      </c>
      <c r="F365" s="149">
        <f t="shared" ca="1" si="765"/>
        <v>0.27885785706351007</v>
      </c>
      <c r="G365" s="149">
        <f t="shared" ca="1" si="765"/>
        <v>0.27682064097185466</v>
      </c>
      <c r="H365" s="149">
        <f t="shared" ca="1" si="765"/>
        <v>0.27900261401397897</v>
      </c>
      <c r="I365" s="149">
        <f t="shared" ca="1" si="765"/>
        <v>0.28129804619091259</v>
      </c>
      <c r="J365" s="149">
        <f t="shared" ca="1" si="765"/>
        <v>0.28543095956770209</v>
      </c>
      <c r="K365" s="149">
        <f t="shared" ca="1" si="765"/>
        <v>0.29624639428871147</v>
      </c>
      <c r="L365" s="149">
        <f t="shared" ca="1" si="765"/>
        <v>0.32855442476437902</v>
      </c>
      <c r="M365" s="149">
        <f t="shared" ca="1" si="765"/>
        <v>0.35541737447956162</v>
      </c>
    </row>
    <row r="366" spans="1:13" ht="15" customHeight="1">
      <c r="A366" s="10">
        <f t="shared" si="764"/>
        <v>6</v>
      </c>
      <c r="B366" s="7">
        <f t="shared" ca="1" si="765"/>
        <v>0.28063144039877302</v>
      </c>
      <c r="C366" s="149">
        <f t="shared" ca="1" si="765"/>
        <v>0.27793946375253614</v>
      </c>
      <c r="D366" s="149">
        <f t="shared" ca="1" si="765"/>
        <v>0.27477611082928133</v>
      </c>
      <c r="E366" s="149">
        <f t="shared" ca="1" si="765"/>
        <v>0.27423351177408417</v>
      </c>
      <c r="F366" s="149">
        <f t="shared" ca="1" si="765"/>
        <v>0.27308628565080806</v>
      </c>
      <c r="G366" s="149">
        <f t="shared" ca="1" si="765"/>
        <v>0.27145651277748373</v>
      </c>
      <c r="H366" s="149">
        <f t="shared" ca="1" si="765"/>
        <v>0.27320209121118316</v>
      </c>
      <c r="I366" s="149">
        <f t="shared" ca="1" si="765"/>
        <v>0.27503843695273011</v>
      </c>
      <c r="J366" s="149">
        <f t="shared" ca="1" si="765"/>
        <v>0.27834476765416166</v>
      </c>
      <c r="K366" s="149">
        <f t="shared" ca="1" si="765"/>
        <v>0.28699711543096917</v>
      </c>
      <c r="L366" s="149">
        <f t="shared" ca="1" si="765"/>
        <v>0.32284353981150321</v>
      </c>
      <c r="M366" s="149">
        <f t="shared" ca="1" si="765"/>
        <v>0.3543338995836493</v>
      </c>
    </row>
    <row r="367" spans="1:13" ht="15" customHeight="1">
      <c r="A367" s="10">
        <f t="shared" si="764"/>
        <v>7</v>
      </c>
      <c r="B367" s="7">
        <f t="shared" ca="1" si="765"/>
        <v>0.27297358029907975</v>
      </c>
      <c r="C367" s="149">
        <f t="shared" ca="1" si="765"/>
        <v>0.27095459781440212</v>
      </c>
      <c r="D367" s="149">
        <f t="shared" ca="1" si="765"/>
        <v>0.26858208312196102</v>
      </c>
      <c r="E367" s="149">
        <f t="shared" ca="1" si="765"/>
        <v>0.26817513383056313</v>
      </c>
      <c r="F367" s="149">
        <f t="shared" ca="1" si="765"/>
        <v>0.26731471423810604</v>
      </c>
      <c r="G367" s="149">
        <f t="shared" ca="1" si="765"/>
        <v>0.2660923845831128</v>
      </c>
      <c r="H367" s="149">
        <f t="shared" ca="1" si="765"/>
        <v>0.26740156840838736</v>
      </c>
      <c r="I367" s="149">
        <f t="shared" ca="1" si="765"/>
        <v>0.26877882771454759</v>
      </c>
      <c r="J367" s="149">
        <f t="shared" ca="1" si="765"/>
        <v>0.27125857574062123</v>
      </c>
      <c r="K367" s="149">
        <f t="shared" ca="1" si="765"/>
        <v>0.27774783657322688</v>
      </c>
      <c r="L367" s="149">
        <f t="shared" ca="1" si="765"/>
        <v>0.31713265485862741</v>
      </c>
      <c r="M367" s="149">
        <f t="shared" ca="1" si="765"/>
        <v>0.35325042468773699</v>
      </c>
    </row>
    <row r="368" spans="1:13" ht="15" customHeight="1">
      <c r="A368" s="10">
        <f t="shared" si="764"/>
        <v>8</v>
      </c>
      <c r="B368" s="7">
        <f t="shared" ca="1" si="765"/>
        <v>0.26531572019938654</v>
      </c>
      <c r="C368" s="149">
        <f t="shared" ca="1" si="765"/>
        <v>0.2639697318762681</v>
      </c>
      <c r="D368" s="149">
        <f t="shared" ca="1" si="765"/>
        <v>0.26238805541464066</v>
      </c>
      <c r="E368" s="149">
        <f t="shared" ca="1" si="765"/>
        <v>0.26211675588704209</v>
      </c>
      <c r="F368" s="149">
        <f t="shared" ca="1" si="765"/>
        <v>0.26154314282540403</v>
      </c>
      <c r="G368" s="149">
        <f t="shared" ca="1" si="765"/>
        <v>0.26072825638874186</v>
      </c>
      <c r="H368" s="149">
        <f t="shared" ca="1" si="765"/>
        <v>0.26160104560559155</v>
      </c>
      <c r="I368" s="149">
        <f t="shared" ca="1" si="765"/>
        <v>0.26251921847636506</v>
      </c>
      <c r="J368" s="149">
        <f t="shared" ca="1" si="765"/>
        <v>0.26417238382708086</v>
      </c>
      <c r="K368" s="149">
        <f t="shared" ca="1" si="765"/>
        <v>0.26849855771548459</v>
      </c>
      <c r="L368" s="149">
        <f t="shared" ca="1" si="765"/>
        <v>0.3114217699057516</v>
      </c>
      <c r="M368" s="149">
        <f t="shared" ca="1" si="765"/>
        <v>0.35216694979182461</v>
      </c>
    </row>
    <row r="369" spans="1:13" ht="15" customHeight="1">
      <c r="A369" s="10">
        <f t="shared" si="764"/>
        <v>9</v>
      </c>
      <c r="B369" s="7">
        <f t="shared" ca="1" si="765"/>
        <v>0.25765786009969327</v>
      </c>
      <c r="C369" s="149">
        <f t="shared" ca="1" si="765"/>
        <v>0.25698486593813402</v>
      </c>
      <c r="D369" s="149">
        <f t="shared" ca="1" si="765"/>
        <v>0.25619402770732036</v>
      </c>
      <c r="E369" s="149">
        <f t="shared" ca="1" si="765"/>
        <v>0.25605837794352104</v>
      </c>
      <c r="F369" s="149">
        <f t="shared" ca="1" si="765"/>
        <v>0.25577157141270201</v>
      </c>
      <c r="G369" s="149">
        <f t="shared" ca="1" si="765"/>
        <v>0.25536412819437093</v>
      </c>
      <c r="H369" s="149">
        <f t="shared" ca="1" si="765"/>
        <v>0.2558005228027958</v>
      </c>
      <c r="I369" s="149">
        <f t="shared" ca="1" si="765"/>
        <v>0.25625960923818253</v>
      </c>
      <c r="J369" s="149">
        <f t="shared" ca="1" si="765"/>
        <v>0.25708619191354043</v>
      </c>
      <c r="K369" s="149">
        <f t="shared" ca="1" si="765"/>
        <v>0.25924927885774229</v>
      </c>
      <c r="L369" s="149">
        <f t="shared" ca="1" si="765"/>
        <v>0.30571088495287579</v>
      </c>
      <c r="M369" s="149">
        <f t="shared" ca="1" si="765"/>
        <v>0.3510834748959123</v>
      </c>
    </row>
    <row r="370" spans="1:13" ht="15" customHeight="1">
      <c r="A370" s="10">
        <f t="shared" si="764"/>
        <v>10</v>
      </c>
      <c r="B370" s="7">
        <f t="shared" ca="1" si="765"/>
        <v>0.25</v>
      </c>
      <c r="C370" s="149">
        <f t="shared" ca="1" si="765"/>
        <v>0.25</v>
      </c>
      <c r="D370" s="149">
        <f t="shared" ca="1" si="765"/>
        <v>0.25</v>
      </c>
      <c r="E370" s="149">
        <f t="shared" ca="1" si="765"/>
        <v>0.25</v>
      </c>
      <c r="F370" s="149">
        <f t="shared" ca="1" si="765"/>
        <v>0.25</v>
      </c>
      <c r="G370" s="149">
        <f t="shared" ca="1" si="765"/>
        <v>0.25</v>
      </c>
      <c r="H370" s="149">
        <f t="shared" ca="1" si="765"/>
        <v>0.25</v>
      </c>
      <c r="I370" s="149">
        <f t="shared" ca="1" si="765"/>
        <v>0.25</v>
      </c>
      <c r="J370" s="149">
        <f t="shared" ca="1" si="765"/>
        <v>0.25</v>
      </c>
      <c r="K370" s="149">
        <f t="shared" ca="1" si="765"/>
        <v>0.25</v>
      </c>
      <c r="L370" s="149">
        <f t="shared" ca="1" si="765"/>
        <v>0.3</v>
      </c>
      <c r="M370" s="149">
        <f t="shared" ca="1" si="765"/>
        <v>0.35</v>
      </c>
    </row>
    <row r="371" spans="1:13" ht="15" customHeight="1">
      <c r="C371" s="145"/>
      <c r="D371" s="145"/>
      <c r="E371" s="145"/>
      <c r="F371" s="145"/>
      <c r="G371" s="145"/>
      <c r="H371" s="145"/>
      <c r="I371" s="145"/>
      <c r="J371" s="145"/>
      <c r="K371" s="145"/>
      <c r="L371" s="145"/>
      <c r="M371" s="145"/>
    </row>
    <row r="372" spans="1:13" ht="15" customHeight="1">
      <c r="C372" s="145"/>
      <c r="D372" s="145"/>
      <c r="E372" s="145"/>
      <c r="F372" s="145"/>
      <c r="G372" s="145"/>
      <c r="H372" s="145"/>
      <c r="I372" s="145"/>
      <c r="J372" s="145"/>
      <c r="K372" s="145"/>
      <c r="L372" s="145"/>
      <c r="M372" s="145"/>
    </row>
    <row r="373" spans="1:13" ht="15" customHeight="1">
      <c r="A373" s="106" t="str">
        <f>A155</f>
        <v>Revenues</v>
      </c>
      <c r="B373" s="94"/>
      <c r="C373" s="144"/>
      <c r="D373" s="144"/>
      <c r="E373" s="144"/>
      <c r="F373" s="144"/>
      <c r="G373" s="144"/>
      <c r="H373" s="144"/>
      <c r="I373" s="144"/>
      <c r="J373" s="144"/>
      <c r="K373" s="144"/>
      <c r="L373" s="144"/>
      <c r="M373" s="144"/>
    </row>
    <row r="374" spans="1:13" ht="15" customHeight="1">
      <c r="A374" s="10">
        <f t="shared" ref="A374:A384" si="766">A360</f>
        <v>0</v>
      </c>
      <c r="B374" s="41">
        <f t="shared" ref="B374:C384" ca="1" si="767">IF($A374&gt;B$160,"",IF($A374=0,B$820,OFFSET(B374,-1,0)*(1+B388)))</f>
        <v>212164</v>
      </c>
      <c r="C374" s="144">
        <f t="shared" ca="1" si="767"/>
        <v>199800</v>
      </c>
      <c r="D374" s="144">
        <f t="shared" ref="D374:E374" ca="1" si="768">IF($A374&gt;D$160,"",IF($A374=0,D$820,OFFSET(D374,-1,0)*(1+D388)))</f>
        <v>182795</v>
      </c>
      <c r="E374" s="144">
        <f t="shared" ca="1" si="768"/>
        <v>178144</v>
      </c>
      <c r="F374" s="144">
        <f t="shared" ref="F374:G374" ca="1" si="769">IF($A374&gt;F$160,"",IF($A374=0,F$820,OFFSET(F374,-1,0)*(1+F388)))</f>
        <v>176035</v>
      </c>
      <c r="G374" s="144">
        <f t="shared" ca="1" si="769"/>
        <v>173992</v>
      </c>
      <c r="H374" s="144">
        <f t="shared" ref="H374:K374" ca="1" si="770">IF($A374&gt;H$160,"",IF($A374=0,H$820,OFFSET(H374,-1,0)*(1+H388)))</f>
        <v>170910</v>
      </c>
      <c r="I374" s="144">
        <f t="shared" ca="1" si="770"/>
        <v>169404</v>
      </c>
      <c r="J374" s="144">
        <f t="shared" ca="1" si="770"/>
        <v>169104</v>
      </c>
      <c r="K374" s="144">
        <f t="shared" ca="1" si="770"/>
        <v>164687</v>
      </c>
      <c r="L374" s="144">
        <f t="shared" ref="L374:M374" ca="1" si="771">IF($A374&gt;L$160,"",IF($A374=0,L$820,OFFSET(L374,-1,0)*(1+L388)))</f>
        <v>156508</v>
      </c>
      <c r="M374" s="144">
        <f t="shared" ca="1" si="771"/>
        <v>148812</v>
      </c>
    </row>
    <row r="375" spans="1:13" ht="15" customHeight="1">
      <c r="A375" s="10">
        <f t="shared" si="766"/>
        <v>1</v>
      </c>
      <c r="B375" s="41">
        <f t="shared" ca="1" si="767"/>
        <v>220650.56</v>
      </c>
      <c r="C375" s="144">
        <f t="shared" ca="1" si="767"/>
        <v>207792</v>
      </c>
      <c r="D375" s="144">
        <f t="shared" ref="D375:E375" ca="1" si="772">IF($A375&gt;D$160,"",IF($A375=0,D$820,OFFSET(D375,-1,0)*(1+D389)))</f>
        <v>190106.80000000002</v>
      </c>
      <c r="E375" s="144">
        <f t="shared" ca="1" si="772"/>
        <v>185269.76000000001</v>
      </c>
      <c r="F375" s="144">
        <f t="shared" ref="F375:G375" ca="1" si="773">IF($A375&gt;F$160,"",IF($A375=0,F$820,OFFSET(F375,-1,0)*(1+F389)))</f>
        <v>183076.4</v>
      </c>
      <c r="G375" s="144">
        <f t="shared" ca="1" si="773"/>
        <v>180951.67999999999</v>
      </c>
      <c r="H375" s="144">
        <f t="shared" ref="H375:K375" ca="1" si="774">IF($A375&gt;H$160,"",IF($A375=0,H$820,OFFSET(H375,-1,0)*(1+H389)))</f>
        <v>177746.4</v>
      </c>
      <c r="I375" s="144">
        <f t="shared" ca="1" si="774"/>
        <v>177874.2</v>
      </c>
      <c r="J375" s="144">
        <f t="shared" ca="1" si="774"/>
        <v>177559.2</v>
      </c>
      <c r="K375" s="144">
        <f t="shared" ca="1" si="774"/>
        <v>172921.35</v>
      </c>
      <c r="L375" s="144">
        <f t="shared" ref="L375:M375" ca="1" si="775">IF($A375&gt;L$160,"",IF($A375=0,L$820,OFFSET(L375,-1,0)*(1+L389)))</f>
        <v>165898.48000000001</v>
      </c>
      <c r="M375" s="144">
        <f t="shared" ca="1" si="775"/>
        <v>160716.96000000002</v>
      </c>
    </row>
    <row r="376" spans="1:13" ht="15" customHeight="1">
      <c r="A376" s="10">
        <f t="shared" si="766"/>
        <v>2</v>
      </c>
      <c r="B376" s="41">
        <f t="shared" ca="1" si="767"/>
        <v>229476.58240000001</v>
      </c>
      <c r="C376" s="144">
        <f t="shared" ca="1" si="767"/>
        <v>216103.67999999999</v>
      </c>
      <c r="D376" s="144">
        <f t="shared" ref="D376:E376" ca="1" si="776">IF($A376&gt;D$160,"",IF($A376=0,D$820,OFFSET(D376,-1,0)*(1+D390)))</f>
        <v>197711.07200000001</v>
      </c>
      <c r="E376" s="144">
        <f t="shared" ca="1" si="776"/>
        <v>192680.55040000001</v>
      </c>
      <c r="F376" s="144">
        <f t="shared" ref="F376:G376" ca="1" si="777">IF($A376&gt;F$160,"",IF($A376=0,F$820,OFFSET(F376,-1,0)*(1+F390)))</f>
        <v>190399.45600000001</v>
      </c>
      <c r="G376" s="144">
        <f t="shared" ca="1" si="777"/>
        <v>188189.74720000001</v>
      </c>
      <c r="H376" s="144">
        <f t="shared" ref="H376:K376" ca="1" si="778">IF($A376&gt;H$160,"",IF($A376=0,H$820,OFFSET(H376,-1,0)*(1+H390)))</f>
        <v>184856.25599999999</v>
      </c>
      <c r="I376" s="144">
        <f t="shared" ca="1" si="778"/>
        <v>186767.91000000003</v>
      </c>
      <c r="J376" s="144">
        <f t="shared" ca="1" si="778"/>
        <v>186437.16000000003</v>
      </c>
      <c r="K376" s="144">
        <f t="shared" ca="1" si="778"/>
        <v>181567.41750000001</v>
      </c>
      <c r="L376" s="144">
        <f t="shared" ref="L376:M376" ca="1" si="779">IF($A376&gt;L$160,"",IF($A376=0,L$820,OFFSET(L376,-1,0)*(1+L390)))</f>
        <v>175852.38880000002</v>
      </c>
      <c r="M376" s="144">
        <f t="shared" ca="1" si="779"/>
        <v>173574.31680000003</v>
      </c>
    </row>
    <row r="377" spans="1:13" ht="15" customHeight="1">
      <c r="A377" s="10">
        <f t="shared" si="766"/>
        <v>3</v>
      </c>
      <c r="B377" s="41">
        <f t="shared" ca="1" si="767"/>
        <v>238655.64569600002</v>
      </c>
      <c r="C377" s="144">
        <f t="shared" ca="1" si="767"/>
        <v>224747.8272</v>
      </c>
      <c r="D377" s="144">
        <f t="shared" ref="D377:E377" ca="1" si="780">IF($A377&gt;D$160,"",IF($A377=0,D$820,OFFSET(D377,-1,0)*(1+D391)))</f>
        <v>205619.51488000003</v>
      </c>
      <c r="E377" s="144">
        <f t="shared" ca="1" si="780"/>
        <v>200387.77241600002</v>
      </c>
      <c r="F377" s="144">
        <f t="shared" ref="F377:G377" ca="1" si="781">IF($A377&gt;F$160,"",IF($A377=0,F$820,OFFSET(F377,-1,0)*(1+F391)))</f>
        <v>198015.43424</v>
      </c>
      <c r="G377" s="144">
        <f t="shared" ca="1" si="781"/>
        <v>195717.33708800003</v>
      </c>
      <c r="H377" s="144">
        <f t="shared" ref="H377:K377" ca="1" si="782">IF($A377&gt;H$160,"",IF($A377=0,H$820,OFFSET(H377,-1,0)*(1+H391)))</f>
        <v>192250.50623999999</v>
      </c>
      <c r="I377" s="144">
        <f t="shared" ca="1" si="782"/>
        <v>196106.30550000005</v>
      </c>
      <c r="J377" s="144">
        <f t="shared" ca="1" si="782"/>
        <v>195759.01800000004</v>
      </c>
      <c r="K377" s="144">
        <f t="shared" ca="1" si="782"/>
        <v>190645.78837500003</v>
      </c>
      <c r="L377" s="144">
        <f t="shared" ref="L377:M377" ca="1" si="783">IF($A377&gt;L$160,"",IF($A377=0,L$820,OFFSET(L377,-1,0)*(1+L391)))</f>
        <v>186403.53212800002</v>
      </c>
      <c r="M377" s="144">
        <f t="shared" ca="1" si="783"/>
        <v>187460.26214400004</v>
      </c>
    </row>
    <row r="378" spans="1:13" ht="15" customHeight="1">
      <c r="A378" s="10">
        <f t="shared" si="766"/>
        <v>4</v>
      </c>
      <c r="B378" s="41">
        <f t="shared" ca="1" si="767"/>
        <v>248201.87152384003</v>
      </c>
      <c r="C378" s="144">
        <f t="shared" ca="1" si="767"/>
        <v>233737.740288</v>
      </c>
      <c r="D378" s="144">
        <f t="shared" ref="D378:E378" ca="1" si="784">IF($A378&gt;D$160,"",IF($A378=0,D$820,OFFSET(D378,-1,0)*(1+D392)))</f>
        <v>213844.29547520005</v>
      </c>
      <c r="E378" s="144">
        <f t="shared" ca="1" si="784"/>
        <v>208403.28331264004</v>
      </c>
      <c r="F378" s="144">
        <f t="shared" ref="F378:G378" ca="1" si="785">IF($A378&gt;F$160,"",IF($A378=0,F$820,OFFSET(F378,-1,0)*(1+F392)))</f>
        <v>205936.05160960002</v>
      </c>
      <c r="G378" s="144">
        <f t="shared" ca="1" si="785"/>
        <v>203546.03057152004</v>
      </c>
      <c r="H378" s="144">
        <f t="shared" ref="H378:K378" ca="1" si="786">IF($A378&gt;H$160,"",IF($A378=0,H$820,OFFSET(H378,-1,0)*(1+H392)))</f>
        <v>199940.52648959999</v>
      </c>
      <c r="I378" s="144">
        <f t="shared" ca="1" si="786"/>
        <v>205911.62077500005</v>
      </c>
      <c r="J378" s="144">
        <f t="shared" ca="1" si="786"/>
        <v>205546.96890000004</v>
      </c>
      <c r="K378" s="144">
        <f t="shared" ca="1" si="786"/>
        <v>200178.07779375004</v>
      </c>
      <c r="L378" s="144">
        <f t="shared" ref="L378:M378" ca="1" si="787">IF($A378&gt;L$160,"",IF($A378=0,L$820,OFFSET(L378,-1,0)*(1+L392)))</f>
        <v>197587.74405568003</v>
      </c>
      <c r="M378" s="144">
        <f t="shared" ca="1" si="787"/>
        <v>202457.08311552004</v>
      </c>
    </row>
    <row r="379" spans="1:13" ht="15" customHeight="1">
      <c r="A379" s="10">
        <f t="shared" si="766"/>
        <v>5</v>
      </c>
      <c r="B379" s="41">
        <f t="shared" ca="1" si="767"/>
        <v>258129.94638479364</v>
      </c>
      <c r="C379" s="144">
        <f t="shared" ca="1" si="767"/>
        <v>243087.24989952001</v>
      </c>
      <c r="D379" s="144">
        <f t="shared" ref="D379:E379" ca="1" si="788">IF($A379&gt;D$160,"",IF($A379=0,D$820,OFFSET(D379,-1,0)*(1+D393)))</f>
        <v>222398.06729420807</v>
      </c>
      <c r="E379" s="144">
        <f t="shared" ca="1" si="788"/>
        <v>216739.41464514565</v>
      </c>
      <c r="F379" s="144">
        <f t="shared" ref="F379:G379" ca="1" si="789">IF($A379&gt;F$160,"",IF($A379=0,F$820,OFFSET(F379,-1,0)*(1+F393)))</f>
        <v>214173.49367398402</v>
      </c>
      <c r="G379" s="144">
        <f t="shared" ca="1" si="789"/>
        <v>211687.87179438086</v>
      </c>
      <c r="H379" s="144">
        <f t="shared" ref="H379:K379" ca="1" si="790">IF($A379&gt;H$160,"",IF($A379=0,H$820,OFFSET(H379,-1,0)*(1+H393)))</f>
        <v>207938.14754918398</v>
      </c>
      <c r="I379" s="144">
        <f t="shared" ca="1" si="790"/>
        <v>216207.20181375006</v>
      </c>
      <c r="J379" s="144">
        <f t="shared" ca="1" si="790"/>
        <v>215824.31734500005</v>
      </c>
      <c r="K379" s="144">
        <f t="shared" ca="1" si="790"/>
        <v>210186.98168343754</v>
      </c>
      <c r="L379" s="144">
        <f t="shared" ref="L379:M379" ca="1" si="791">IF($A379&gt;L$160,"",IF($A379=0,L$820,OFFSET(L379,-1,0)*(1+L393)))</f>
        <v>209443.00869902084</v>
      </c>
      <c r="M379" s="144">
        <f t="shared" ca="1" si="791"/>
        <v>218653.64976476165</v>
      </c>
    </row>
    <row r="380" spans="1:13" ht="15" customHeight="1">
      <c r="A380" s="10">
        <f t="shared" si="766"/>
        <v>6</v>
      </c>
      <c r="B380" s="41">
        <f t="shared" ca="1" si="767"/>
        <v>267396.81146000774</v>
      </c>
      <c r="C380" s="144">
        <f t="shared" ca="1" si="767"/>
        <v>251838.39089590273</v>
      </c>
      <c r="D380" s="144">
        <f t="shared" ref="D380:E380" ca="1" si="792">IF($A380&gt;D$160,"",IF($A380=0,D$820,OFFSET(D380,-1,0)*(1+D394)))</f>
        <v>230617.89986140202</v>
      </c>
      <c r="E380" s="144">
        <f t="shared" ca="1" si="792"/>
        <v>224802.12086994504</v>
      </c>
      <c r="F380" s="144">
        <f t="shared" ref="F380:G380" ca="1" si="793">IF($A380&gt;F$160,"",IF($A380=0,F$820,OFFSET(F380,-1,0)*(1+F394)))</f>
        <v>222183.58233739104</v>
      </c>
      <c r="G380" s="144">
        <f t="shared" ca="1" si="793"/>
        <v>219613.46571436245</v>
      </c>
      <c r="H380" s="144">
        <f t="shared" ref="H380:K380" ca="1" si="794">IF($A380&gt;H$160,"",IF($A380=0,H$820,OFFSET(H380,-1,0)*(1+H394)))</f>
        <v>215856.43220785688</v>
      </c>
      <c r="I380" s="144">
        <f t="shared" ca="1" si="794"/>
        <v>226152.73309718256</v>
      </c>
      <c r="J380" s="144">
        <f t="shared" ca="1" si="794"/>
        <v>225212.67514950756</v>
      </c>
      <c r="K380" s="144">
        <f t="shared" ca="1" si="794"/>
        <v>219321.70790739974</v>
      </c>
      <c r="L380" s="144">
        <f t="shared" ref="L380:M380" ca="1" si="795">IF($A380&gt;L$160,"",IF($A380=0,L$820,OFFSET(L380,-1,0)*(1+L394)))</f>
        <v>220250.26794789033</v>
      </c>
      <c r="M380" s="144">
        <f t="shared" ca="1" si="795"/>
        <v>233377.78653992069</v>
      </c>
    </row>
    <row r="381" spans="1:13" ht="15" customHeight="1">
      <c r="A381" s="10">
        <f t="shared" si="766"/>
        <v>7</v>
      </c>
      <c r="B381" s="41">
        <f t="shared" ca="1" si="767"/>
        <v>275900.03006443602</v>
      </c>
      <c r="C381" s="144">
        <f t="shared" ca="1" si="767"/>
        <v>259897.21940457163</v>
      </c>
      <c r="D381" s="144">
        <f t="shared" ref="D381:E381" ca="1" si="796">IF($A381&gt;D$160,"",IF($A381=0,D$820,OFFSET(D381,-1,0)*(1+D395)))</f>
        <v>238440.45902470077</v>
      </c>
      <c r="E381" s="144">
        <f t="shared" ca="1" si="796"/>
        <v>232535.31382787114</v>
      </c>
      <c r="F381" s="144">
        <f t="shared" ref="F381:G381" ca="1" si="797">IF($A381&gt;F$160,"",IF($A381=0,F$820,OFFSET(F381,-1,0)*(1+F395)))</f>
        <v>229915.57100273223</v>
      </c>
      <c r="G381" s="144">
        <f t="shared" ca="1" si="797"/>
        <v>227273.58339847942</v>
      </c>
      <c r="H381" s="144">
        <f t="shared" ref="H381:K381" ca="1" si="798">IF($A381&gt;H$160,"",IF($A381=0,H$820,OFFSET(H381,-1,0)*(1+H395)))</f>
        <v>223661.80079649299</v>
      </c>
      <c r="I381" s="144">
        <f t="shared" ca="1" si="798"/>
        <v>235651.14788726423</v>
      </c>
      <c r="J381" s="144">
        <f t="shared" ca="1" si="798"/>
        <v>233545.54413003931</v>
      </c>
      <c r="K381" s="144">
        <f t="shared" ca="1" si="798"/>
        <v>227419.06536334095</v>
      </c>
      <c r="L381" s="144">
        <f t="shared" ref="L381:M381" ca="1" si="799">IF($A381&gt;L$160,"",IF($A381=0,L$820,OFFSET(L381,-1,0)*(1+L395)))</f>
        <v>229765.07952323917</v>
      </c>
      <c r="M381" s="144">
        <f t="shared" ca="1" si="799"/>
        <v>246138.88390792356</v>
      </c>
    </row>
    <row r="382" spans="1:13" ht="15" customHeight="1">
      <c r="A382" s="10">
        <f t="shared" si="766"/>
        <v>8</v>
      </c>
      <c r="B382" s="41">
        <f t="shared" ca="1" si="767"/>
        <v>283542.46089722094</v>
      </c>
      <c r="C382" s="144">
        <f t="shared" ca="1" si="767"/>
        <v>267174.34154789965</v>
      </c>
      <c r="D382" s="144">
        <f t="shared" ref="D382:E382" ca="1" si="800">IF($A382&gt;D$160,"",IF($A382=0,D$820,OFFSET(D382,-1,0)*(1+D396)))</f>
        <v>245803.50039938354</v>
      </c>
      <c r="E382" s="144">
        <f t="shared" ca="1" si="800"/>
        <v>239883.4297448319</v>
      </c>
      <c r="F382" s="144">
        <f t="shared" ref="F382:G382" ca="1" si="801">IF($A382&gt;F$160,"",IF($A382=0,F$820,OFFSET(F382,-1,0)*(1+F396)))</f>
        <v>237318.85238902021</v>
      </c>
      <c r="G382" s="144">
        <f t="shared" ca="1" si="801"/>
        <v>234619.06561391824</v>
      </c>
      <c r="H382" s="144">
        <f t="shared" ref="H382:K382" ca="1" si="802">IF($A382&gt;H$160,"",IF($A382=0,H$820,OFFSET(H382,-1,0)*(1+H396)))</f>
        <v>231319.98085576491</v>
      </c>
      <c r="I382" s="144">
        <f t="shared" ca="1" si="802"/>
        <v>244605.89150698029</v>
      </c>
      <c r="J382" s="144">
        <f t="shared" ca="1" si="802"/>
        <v>240668.68322600549</v>
      </c>
      <c r="K382" s="144">
        <f t="shared" ca="1" si="802"/>
        <v>234328.05656907926</v>
      </c>
      <c r="L382" s="144">
        <f t="shared" ref="L382:M382" ca="1" si="803">IF($A382&gt;L$160,"",IF($A382=0,L$820,OFFSET(L382,-1,0)*(1+L396)))</f>
        <v>237760.90429064789</v>
      </c>
      <c r="M382" s="144">
        <f t="shared" ca="1" si="803"/>
        <v>256481.63980973451</v>
      </c>
    </row>
    <row r="383" spans="1:13" ht="15" customHeight="1">
      <c r="A383" s="10">
        <f t="shared" si="766"/>
        <v>9</v>
      </c>
      <c r="B383" s="41">
        <f t="shared" ca="1" si="767"/>
        <v>290234.06297439535</v>
      </c>
      <c r="C383" s="144">
        <f t="shared" ca="1" si="767"/>
        <v>273586.52574504924</v>
      </c>
      <c r="D383" s="144">
        <f t="shared" ref="D383:E383" ca="1" si="804">IF($A383&gt;D$160,"",IF($A383=0,D$820,OFFSET(D383,-1,0)*(1+D397)))</f>
        <v>252646.6698505024</v>
      </c>
      <c r="E383" s="144">
        <f t="shared" ca="1" si="804"/>
        <v>246792.07252148303</v>
      </c>
      <c r="F383" s="144">
        <f t="shared" ref="F383:G383" ca="1" si="805">IF($A383&gt;F$160,"",IF($A383=0,F$820,OFFSET(F383,-1,0)*(1+F397)))</f>
        <v>244343.49041973523</v>
      </c>
      <c r="G383" s="144">
        <f t="shared" ca="1" si="805"/>
        <v>241601.32900658844</v>
      </c>
      <c r="H383" s="144">
        <f t="shared" ref="H383:K383" ca="1" si="806">IF($A383&gt;H$160,"",IF($A383=0,H$820,OFFSET(H383,-1,0)*(1+H397)))</f>
        <v>238796.24263702321</v>
      </c>
      <c r="I383" s="144">
        <f t="shared" ca="1" si="806"/>
        <v>252922.49181821762</v>
      </c>
      <c r="J383" s="144">
        <f t="shared" ca="1" si="806"/>
        <v>246444.73162342963</v>
      </c>
      <c r="K383" s="144">
        <f t="shared" ca="1" si="806"/>
        <v>239914.43743768614</v>
      </c>
      <c r="L383" s="144">
        <f t="shared" ref="L383:M383" ca="1" si="807">IF($A383&gt;L$160,"",IF($A383=0,L$820,OFFSET(L383,-1,0)*(1+L397)))</f>
        <v>244037.792163921</v>
      </c>
      <c r="M383" s="144">
        <f t="shared" ca="1" si="807"/>
        <v>264011.94075454836</v>
      </c>
    </row>
    <row r="384" spans="1:13" ht="15" customHeight="1">
      <c r="A384" s="10">
        <f t="shared" si="766"/>
        <v>10</v>
      </c>
      <c r="B384" s="41">
        <f t="shared" ca="1" si="767"/>
        <v>295893.62720239605</v>
      </c>
      <c r="C384" s="144">
        <f t="shared" ca="1" si="767"/>
        <v>279058.25625995023</v>
      </c>
      <c r="D384" s="144">
        <f t="shared" ref="D384:E384" ca="1" si="808">IF($A384&gt;D$160,"",IF($A384=0,D$820,OFFSET(D384,-1,0)*(1+D398)))</f>
        <v>258912.30726279484</v>
      </c>
      <c r="E384" s="144">
        <f t="shared" ca="1" si="808"/>
        <v>253208.6664070416</v>
      </c>
      <c r="F384" s="144">
        <f t="shared" ref="F384:G384" ca="1" si="809">IF($A384&gt;F$160,"",IF($A384=0,F$820,OFFSET(F384,-1,0)*(1+F398)))</f>
        <v>250940.76466106807</v>
      </c>
      <c r="G384" s="144">
        <f t="shared" ca="1" si="809"/>
        <v>248172.88515556761</v>
      </c>
      <c r="H384" s="144">
        <f t="shared" ref="H384:K384" ca="1" si="810">IF($A384&gt;H$160,"",IF($A384=0,H$820,OFFSET(H384,-1,0)*(1+H398)))</f>
        <v>246055.64841318873</v>
      </c>
      <c r="I384" s="144">
        <f t="shared" ca="1" si="810"/>
        <v>260510.16657276417</v>
      </c>
      <c r="J384" s="144">
        <f t="shared" ca="1" si="810"/>
        <v>250757.51442683965</v>
      </c>
      <c r="K384" s="144">
        <f t="shared" ca="1" si="810"/>
        <v>244064.95720535814</v>
      </c>
      <c r="L384" s="144">
        <f t="shared" ref="L384:M384" ca="1" si="811">IF($A384&gt;L$160,"",IF($A384=0,L$820,OFFSET(L384,-1,0)*(1+L398)))</f>
        <v>248430.47242287156</v>
      </c>
      <c r="M384" s="144">
        <f t="shared" ca="1" si="811"/>
        <v>268420.94016514928</v>
      </c>
    </row>
    <row r="385" spans="1:13" ht="15" customHeight="1">
      <c r="C385" s="145"/>
      <c r="D385" s="145"/>
      <c r="E385" s="145"/>
      <c r="F385" s="145"/>
      <c r="G385" s="145"/>
      <c r="H385" s="145"/>
      <c r="I385" s="145"/>
      <c r="J385" s="145"/>
      <c r="K385" s="145"/>
      <c r="L385" s="145"/>
      <c r="M385" s="145"/>
    </row>
    <row r="386" spans="1:13" ht="15" customHeight="1">
      <c r="C386" s="145"/>
      <c r="D386" s="145"/>
      <c r="E386" s="145"/>
      <c r="F386" s="145"/>
      <c r="G386" s="145"/>
      <c r="H386" s="145"/>
      <c r="I386" s="145"/>
      <c r="J386" s="145"/>
      <c r="K386" s="145"/>
      <c r="L386" s="145"/>
      <c r="M386" s="145"/>
    </row>
    <row r="387" spans="1:13" ht="15" customHeight="1">
      <c r="A387" s="106" t="str">
        <f>A156</f>
        <v>Revenue growth rate</v>
      </c>
      <c r="B387" s="5"/>
      <c r="C387" s="149"/>
      <c r="D387" s="149"/>
      <c r="E387" s="149"/>
      <c r="F387" s="149"/>
      <c r="G387" s="149"/>
      <c r="H387" s="149"/>
      <c r="I387" s="149"/>
      <c r="J387" s="149"/>
      <c r="K387" s="149"/>
      <c r="L387" s="149"/>
      <c r="M387" s="149"/>
    </row>
    <row r="388" spans="1:13" ht="15" customHeight="1">
      <c r="A388" s="10">
        <f t="shared" ref="A388:A398" si="812">A374</f>
        <v>0</v>
      </c>
      <c r="B388" s="7" t="e">
        <f t="shared" ref="B388:M398" ca="1" si="813">IF($A388&gt;B$160,"",IF($A388=0,#N/A,IF($A388=1,B$811,IF(AND($A388&gt;1,$A388&lt;=B$161),OFFSET(B388,-1,0),OFFSET(B$388,B$161,0)-((OFFSET(B$388,B$161,0)-B$564)/B$161)*($A388-B$161)))))</f>
        <v>#N/A</v>
      </c>
      <c r="C388" s="149" t="e">
        <f t="shared" ca="1" si="813"/>
        <v>#N/A</v>
      </c>
      <c r="D388" s="149" t="e">
        <f t="shared" ca="1" si="813"/>
        <v>#N/A</v>
      </c>
      <c r="E388" s="149" t="e">
        <f t="shared" ca="1" si="813"/>
        <v>#N/A</v>
      </c>
      <c r="F388" s="149" t="e">
        <f t="shared" ca="1" si="813"/>
        <v>#N/A</v>
      </c>
      <c r="G388" s="149" t="e">
        <f t="shared" ca="1" si="813"/>
        <v>#N/A</v>
      </c>
      <c r="H388" s="149" t="e">
        <f t="shared" ca="1" si="813"/>
        <v>#N/A</v>
      </c>
      <c r="I388" s="149" t="e">
        <f t="shared" ca="1" si="813"/>
        <v>#N/A</v>
      </c>
      <c r="J388" s="149" t="e">
        <f t="shared" ca="1" si="813"/>
        <v>#N/A</v>
      </c>
      <c r="K388" s="149" t="e">
        <f t="shared" ca="1" si="813"/>
        <v>#N/A</v>
      </c>
      <c r="L388" s="149" t="e">
        <f t="shared" ca="1" si="813"/>
        <v>#N/A</v>
      </c>
      <c r="M388" s="149" t="e">
        <f t="shared" ca="1" si="813"/>
        <v>#N/A</v>
      </c>
    </row>
    <row r="389" spans="1:13" ht="15" customHeight="1">
      <c r="A389" s="10">
        <f t="shared" si="812"/>
        <v>1</v>
      </c>
      <c r="B389" s="7">
        <f t="shared" ca="1" si="813"/>
        <v>0.04</v>
      </c>
      <c r="C389" s="149">
        <f t="shared" ca="1" si="813"/>
        <v>0.04</v>
      </c>
      <c r="D389" s="149">
        <f t="shared" ca="1" si="813"/>
        <v>0.04</v>
      </c>
      <c r="E389" s="149">
        <f t="shared" ca="1" si="813"/>
        <v>0.04</v>
      </c>
      <c r="F389" s="149">
        <f t="shared" ca="1" si="813"/>
        <v>0.04</v>
      </c>
      <c r="G389" s="149">
        <f t="shared" ca="1" si="813"/>
        <v>0.04</v>
      </c>
      <c r="H389" s="149">
        <f t="shared" ca="1" si="813"/>
        <v>0.04</v>
      </c>
      <c r="I389" s="149">
        <f t="shared" ca="1" si="813"/>
        <v>0.05</v>
      </c>
      <c r="J389" s="149">
        <f t="shared" ca="1" si="813"/>
        <v>0.05</v>
      </c>
      <c r="K389" s="149">
        <f t="shared" ca="1" si="813"/>
        <v>0.05</v>
      </c>
      <c r="L389" s="149">
        <f t="shared" ca="1" si="813"/>
        <v>0.06</v>
      </c>
      <c r="M389" s="149">
        <f t="shared" ca="1" si="813"/>
        <v>0.08</v>
      </c>
    </row>
    <row r="390" spans="1:13" ht="15" customHeight="1">
      <c r="A390" s="10">
        <f t="shared" si="812"/>
        <v>2</v>
      </c>
      <c r="B390" s="7">
        <f t="shared" ca="1" si="813"/>
        <v>0.04</v>
      </c>
      <c r="C390" s="149">
        <f t="shared" ca="1" si="813"/>
        <v>0.04</v>
      </c>
      <c r="D390" s="149">
        <f t="shared" ca="1" si="813"/>
        <v>0.04</v>
      </c>
      <c r="E390" s="149">
        <f t="shared" ca="1" si="813"/>
        <v>0.04</v>
      </c>
      <c r="F390" s="149">
        <f t="shared" ca="1" si="813"/>
        <v>0.04</v>
      </c>
      <c r="G390" s="149">
        <f t="shared" ca="1" si="813"/>
        <v>0.04</v>
      </c>
      <c r="H390" s="149">
        <f t="shared" ca="1" si="813"/>
        <v>0.04</v>
      </c>
      <c r="I390" s="149">
        <f t="shared" ca="1" si="813"/>
        <v>0.05</v>
      </c>
      <c r="J390" s="149">
        <f t="shared" ca="1" si="813"/>
        <v>0.05</v>
      </c>
      <c r="K390" s="149">
        <f t="shared" ca="1" si="813"/>
        <v>0.05</v>
      </c>
      <c r="L390" s="149">
        <f t="shared" ca="1" si="813"/>
        <v>0.06</v>
      </c>
      <c r="M390" s="149">
        <f t="shared" ca="1" si="813"/>
        <v>0.08</v>
      </c>
    </row>
    <row r="391" spans="1:13" ht="15" customHeight="1">
      <c r="A391" s="10">
        <f t="shared" si="812"/>
        <v>3</v>
      </c>
      <c r="B391" s="7">
        <f t="shared" ca="1" si="813"/>
        <v>0.04</v>
      </c>
      <c r="C391" s="149">
        <f t="shared" ca="1" si="813"/>
        <v>0.04</v>
      </c>
      <c r="D391" s="149">
        <f t="shared" ca="1" si="813"/>
        <v>0.04</v>
      </c>
      <c r="E391" s="149">
        <f t="shared" ca="1" si="813"/>
        <v>0.04</v>
      </c>
      <c r="F391" s="149">
        <f t="shared" ca="1" si="813"/>
        <v>0.04</v>
      </c>
      <c r="G391" s="149">
        <f t="shared" ca="1" si="813"/>
        <v>0.04</v>
      </c>
      <c r="H391" s="149">
        <f t="shared" ca="1" si="813"/>
        <v>0.04</v>
      </c>
      <c r="I391" s="149">
        <f t="shared" ca="1" si="813"/>
        <v>0.05</v>
      </c>
      <c r="J391" s="149">
        <f t="shared" ca="1" si="813"/>
        <v>0.05</v>
      </c>
      <c r="K391" s="149">
        <f t="shared" ca="1" si="813"/>
        <v>0.05</v>
      </c>
      <c r="L391" s="149">
        <f t="shared" ca="1" si="813"/>
        <v>0.06</v>
      </c>
      <c r="M391" s="149">
        <f t="shared" ca="1" si="813"/>
        <v>0.08</v>
      </c>
    </row>
    <row r="392" spans="1:13" ht="15" customHeight="1">
      <c r="A392" s="10">
        <f t="shared" si="812"/>
        <v>4</v>
      </c>
      <c r="B392" s="7">
        <f t="shared" ca="1" si="813"/>
        <v>0.04</v>
      </c>
      <c r="C392" s="149">
        <f t="shared" ca="1" si="813"/>
        <v>0.04</v>
      </c>
      <c r="D392" s="149">
        <f t="shared" ca="1" si="813"/>
        <v>0.04</v>
      </c>
      <c r="E392" s="149">
        <f t="shared" ca="1" si="813"/>
        <v>0.04</v>
      </c>
      <c r="F392" s="149">
        <f t="shared" ca="1" si="813"/>
        <v>0.04</v>
      </c>
      <c r="G392" s="149">
        <f t="shared" ca="1" si="813"/>
        <v>0.04</v>
      </c>
      <c r="H392" s="149">
        <f t="shared" ca="1" si="813"/>
        <v>0.04</v>
      </c>
      <c r="I392" s="149">
        <f t="shared" ca="1" si="813"/>
        <v>0.05</v>
      </c>
      <c r="J392" s="149">
        <f t="shared" ca="1" si="813"/>
        <v>0.05</v>
      </c>
      <c r="K392" s="149">
        <f t="shared" ca="1" si="813"/>
        <v>0.05</v>
      </c>
      <c r="L392" s="149">
        <f t="shared" ca="1" si="813"/>
        <v>0.06</v>
      </c>
      <c r="M392" s="149">
        <f t="shared" ca="1" si="813"/>
        <v>0.08</v>
      </c>
    </row>
    <row r="393" spans="1:13" ht="15" customHeight="1">
      <c r="A393" s="10">
        <f t="shared" si="812"/>
        <v>5</v>
      </c>
      <c r="B393" s="7">
        <f t="shared" ca="1" si="813"/>
        <v>0.04</v>
      </c>
      <c r="C393" s="149">
        <f t="shared" ca="1" si="813"/>
        <v>0.04</v>
      </c>
      <c r="D393" s="149">
        <f t="shared" ca="1" si="813"/>
        <v>0.04</v>
      </c>
      <c r="E393" s="149">
        <f t="shared" ca="1" si="813"/>
        <v>0.04</v>
      </c>
      <c r="F393" s="149">
        <f t="shared" ca="1" si="813"/>
        <v>0.04</v>
      </c>
      <c r="G393" s="149">
        <f t="shared" ca="1" si="813"/>
        <v>0.04</v>
      </c>
      <c r="H393" s="149">
        <f t="shared" ca="1" si="813"/>
        <v>0.04</v>
      </c>
      <c r="I393" s="149">
        <f t="shared" ca="1" si="813"/>
        <v>0.05</v>
      </c>
      <c r="J393" s="149">
        <f t="shared" ca="1" si="813"/>
        <v>0.05</v>
      </c>
      <c r="K393" s="149">
        <f t="shared" ca="1" si="813"/>
        <v>0.05</v>
      </c>
      <c r="L393" s="149">
        <f t="shared" ca="1" si="813"/>
        <v>0.06</v>
      </c>
      <c r="M393" s="149">
        <f t="shared" ca="1" si="813"/>
        <v>0.08</v>
      </c>
    </row>
    <row r="394" spans="1:13" ht="15" customHeight="1">
      <c r="A394" s="10">
        <f t="shared" si="812"/>
        <v>6</v>
      </c>
      <c r="B394" s="7">
        <f t="shared" ca="1" si="813"/>
        <v>3.5900000000000001E-2</v>
      </c>
      <c r="C394" s="149">
        <f t="shared" ca="1" si="813"/>
        <v>3.6000000000000004E-2</v>
      </c>
      <c r="D394" s="149">
        <f t="shared" ca="1" si="813"/>
        <v>3.696E-2</v>
      </c>
      <c r="E394" s="149">
        <f t="shared" ca="1" si="813"/>
        <v>3.7199999999999997E-2</v>
      </c>
      <c r="F394" s="149">
        <f t="shared" ca="1" si="813"/>
        <v>3.7400000000000003E-2</v>
      </c>
      <c r="G394" s="149">
        <f t="shared" ca="1" si="813"/>
        <v>3.7440000000000001E-2</v>
      </c>
      <c r="H394" s="149">
        <f t="shared" ca="1" si="813"/>
        <v>3.8080000000000003E-2</v>
      </c>
      <c r="I394" s="149">
        <f t="shared" ca="1" si="813"/>
        <v>4.5999999999999999E-2</v>
      </c>
      <c r="J394" s="149">
        <f t="shared" ca="1" si="813"/>
        <v>4.3500000000000004E-2</v>
      </c>
      <c r="K394" s="149">
        <f t="shared" ca="1" si="813"/>
        <v>4.3459999999999999E-2</v>
      </c>
      <c r="L394" s="149">
        <f t="shared" ca="1" si="813"/>
        <v>5.16E-2</v>
      </c>
      <c r="M394" s="149">
        <f t="shared" ca="1" si="813"/>
        <v>6.7339999999999997E-2</v>
      </c>
    </row>
    <row r="395" spans="1:13" ht="15" customHeight="1">
      <c r="A395" s="10">
        <f t="shared" si="812"/>
        <v>7</v>
      </c>
      <c r="B395" s="7">
        <f t="shared" ca="1" si="813"/>
        <v>3.1800000000000002E-2</v>
      </c>
      <c r="C395" s="149">
        <f t="shared" ca="1" si="813"/>
        <v>3.2000000000000001E-2</v>
      </c>
      <c r="D395" s="149">
        <f t="shared" ca="1" si="813"/>
        <v>3.3919999999999999E-2</v>
      </c>
      <c r="E395" s="149">
        <f t="shared" ca="1" si="813"/>
        <v>3.44E-2</v>
      </c>
      <c r="F395" s="149">
        <f t="shared" ca="1" si="813"/>
        <v>3.4799999999999998E-2</v>
      </c>
      <c r="G395" s="149">
        <f t="shared" ca="1" si="813"/>
        <v>3.4880000000000001E-2</v>
      </c>
      <c r="H395" s="149">
        <f t="shared" ca="1" si="813"/>
        <v>3.6159999999999998E-2</v>
      </c>
      <c r="I395" s="149">
        <f t="shared" ca="1" si="813"/>
        <v>4.2000000000000003E-2</v>
      </c>
      <c r="J395" s="149">
        <f t="shared" ca="1" si="813"/>
        <v>3.7000000000000005E-2</v>
      </c>
      <c r="K395" s="149">
        <f t="shared" ca="1" si="813"/>
        <v>3.6920000000000001E-2</v>
      </c>
      <c r="L395" s="149">
        <f t="shared" ca="1" si="813"/>
        <v>4.3200000000000002E-2</v>
      </c>
      <c r="M395" s="149">
        <f t="shared" ca="1" si="813"/>
        <v>5.4680000000000006E-2</v>
      </c>
    </row>
    <row r="396" spans="1:13" ht="15" customHeight="1">
      <c r="A396" s="10">
        <f t="shared" si="812"/>
        <v>8</v>
      </c>
      <c r="B396" s="7">
        <f t="shared" ca="1" si="813"/>
        <v>2.7699999999999999E-2</v>
      </c>
      <c r="C396" s="149">
        <f t="shared" ca="1" si="813"/>
        <v>2.8000000000000001E-2</v>
      </c>
      <c r="D396" s="149">
        <f t="shared" ca="1" si="813"/>
        <v>3.0880000000000001E-2</v>
      </c>
      <c r="E396" s="149">
        <f t="shared" ca="1" si="813"/>
        <v>3.1600000000000003E-2</v>
      </c>
      <c r="F396" s="149">
        <f t="shared" ca="1" si="813"/>
        <v>3.2199999999999999E-2</v>
      </c>
      <c r="G396" s="149">
        <f t="shared" ca="1" si="813"/>
        <v>3.2320000000000002E-2</v>
      </c>
      <c r="H396" s="149">
        <f t="shared" ca="1" si="813"/>
        <v>3.424E-2</v>
      </c>
      <c r="I396" s="149">
        <f t="shared" ca="1" si="813"/>
        <v>3.7999999999999999E-2</v>
      </c>
      <c r="J396" s="149">
        <f t="shared" ca="1" si="813"/>
        <v>3.0499999999999999E-2</v>
      </c>
      <c r="K396" s="149">
        <f t="shared" ca="1" si="813"/>
        <v>3.0379999999999997E-2</v>
      </c>
      <c r="L396" s="149">
        <f t="shared" ca="1" si="813"/>
        <v>3.4799999999999998E-2</v>
      </c>
      <c r="M396" s="149">
        <f t="shared" ca="1" si="813"/>
        <v>4.2020000000000002E-2</v>
      </c>
    </row>
    <row r="397" spans="1:13" ht="15" customHeight="1">
      <c r="A397" s="10">
        <f t="shared" si="812"/>
        <v>9</v>
      </c>
      <c r="B397" s="7">
        <f t="shared" ca="1" si="813"/>
        <v>2.3599999999999999E-2</v>
      </c>
      <c r="C397" s="149">
        <f t="shared" ca="1" si="813"/>
        <v>2.4E-2</v>
      </c>
      <c r="D397" s="149">
        <f t="shared" ca="1" si="813"/>
        <v>2.784E-2</v>
      </c>
      <c r="E397" s="149">
        <f t="shared" ca="1" si="813"/>
        <v>2.8799999999999999E-2</v>
      </c>
      <c r="F397" s="149">
        <f t="shared" ca="1" si="813"/>
        <v>2.9600000000000001E-2</v>
      </c>
      <c r="G397" s="149">
        <f t="shared" ca="1" si="813"/>
        <v>2.9759999999999998E-2</v>
      </c>
      <c r="H397" s="149">
        <f t="shared" ca="1" si="813"/>
        <v>3.2320000000000002E-2</v>
      </c>
      <c r="I397" s="149">
        <f t="shared" ca="1" si="813"/>
        <v>3.4000000000000002E-2</v>
      </c>
      <c r="J397" s="149">
        <f t="shared" ca="1" si="813"/>
        <v>2.4E-2</v>
      </c>
      <c r="K397" s="149">
        <f t="shared" ca="1" si="813"/>
        <v>2.3839999999999997E-2</v>
      </c>
      <c r="L397" s="149">
        <f t="shared" ca="1" si="813"/>
        <v>2.64E-2</v>
      </c>
      <c r="M397" s="149">
        <f t="shared" ca="1" si="813"/>
        <v>2.9360000000000004E-2</v>
      </c>
    </row>
    <row r="398" spans="1:13" ht="15" customHeight="1">
      <c r="A398" s="10">
        <f t="shared" si="812"/>
        <v>10</v>
      </c>
      <c r="B398" s="7">
        <f t="shared" ca="1" si="813"/>
        <v>1.95E-2</v>
      </c>
      <c r="C398" s="149">
        <f t="shared" ca="1" si="813"/>
        <v>0.02</v>
      </c>
      <c r="D398" s="149">
        <f t="shared" ca="1" si="813"/>
        <v>2.4799999999999999E-2</v>
      </c>
      <c r="E398" s="149">
        <f t="shared" ca="1" si="813"/>
        <v>2.5999999999999999E-2</v>
      </c>
      <c r="F398" s="149">
        <f t="shared" ca="1" si="813"/>
        <v>2.7E-2</v>
      </c>
      <c r="G398" s="149">
        <f t="shared" ca="1" si="813"/>
        <v>2.7199999999999998E-2</v>
      </c>
      <c r="H398" s="149">
        <f t="shared" ca="1" si="813"/>
        <v>3.04E-2</v>
      </c>
      <c r="I398" s="149">
        <f t="shared" ca="1" si="813"/>
        <v>0.03</v>
      </c>
      <c r="J398" s="149">
        <f t="shared" ca="1" si="813"/>
        <v>1.7500000000000002E-2</v>
      </c>
      <c r="K398" s="149">
        <f t="shared" ca="1" si="813"/>
        <v>1.7299999999999996E-2</v>
      </c>
      <c r="L398" s="149">
        <f t="shared" ca="1" si="813"/>
        <v>1.8000000000000002E-2</v>
      </c>
      <c r="M398" s="149">
        <f t="shared" ca="1" si="813"/>
        <v>1.6700000000000007E-2</v>
      </c>
    </row>
    <row r="399" spans="1:13" ht="15" customHeight="1">
      <c r="A399" s="104"/>
      <c r="B399" s="50"/>
      <c r="C399" s="147"/>
      <c r="D399" s="147"/>
      <c r="E399" s="147"/>
      <c r="F399" s="147"/>
      <c r="G399" s="147"/>
      <c r="H399" s="147"/>
      <c r="I399" s="147"/>
      <c r="J399" s="147"/>
      <c r="K399" s="147"/>
      <c r="L399" s="147"/>
      <c r="M399" s="147"/>
    </row>
    <row r="400" spans="1:13" ht="15" customHeight="1">
      <c r="A400" s="1"/>
    </row>
    <row r="401" spans="1:13" ht="15" customHeight="1">
      <c r="A401" s="1"/>
    </row>
    <row r="402" spans="1:13" ht="15" customHeight="1">
      <c r="A402" s="104"/>
      <c r="B402" s="50"/>
      <c r="C402" s="50"/>
      <c r="D402" s="50"/>
      <c r="E402" s="50"/>
      <c r="F402" s="50"/>
      <c r="G402" s="50"/>
      <c r="H402" s="50"/>
      <c r="I402" s="50"/>
      <c r="J402" s="50"/>
      <c r="K402" s="50"/>
      <c r="L402" s="50"/>
      <c r="M402" s="50"/>
    </row>
    <row r="403" spans="1:13" ht="15" customHeight="1">
      <c r="A403" s="23" t="s">
        <v>322</v>
      </c>
      <c r="B403" s="26"/>
      <c r="C403" s="26"/>
      <c r="D403" s="26"/>
      <c r="E403" s="26"/>
      <c r="F403" s="26"/>
      <c r="G403" s="26"/>
      <c r="H403" s="26"/>
      <c r="I403" s="26"/>
      <c r="J403" s="26"/>
      <c r="K403" s="26"/>
      <c r="L403" s="26"/>
      <c r="M403" s="26"/>
    </row>
    <row r="404" spans="1:13" ht="15" customHeight="1">
      <c r="A404" s="102" t="s">
        <v>33</v>
      </c>
      <c r="B404" s="97">
        <f t="shared" ref="B404:I404" ca="1" si="814">+B409*B408+B417*B416+B413*B412</f>
        <v>8.5616478250876329E-2</v>
      </c>
      <c r="C404" s="97">
        <f t="shared" ca="1" si="814"/>
        <v>8.6399225155159756E-2</v>
      </c>
      <c r="D404" s="97">
        <f t="shared" ca="1" si="814"/>
        <v>9.239676427316143E-2</v>
      </c>
      <c r="E404" s="97">
        <f t="shared" ca="1" si="814"/>
        <v>0.10740672303923111</v>
      </c>
      <c r="F404" s="97">
        <f t="shared" ca="1" si="814"/>
        <v>0.10008009908896695</v>
      </c>
      <c r="G404" s="97">
        <f t="shared" ca="1" si="814"/>
        <v>0.10029247285368061</v>
      </c>
      <c r="H404" s="97">
        <f t="shared" ca="1" si="814"/>
        <v>0.10154649937414874</v>
      </c>
      <c r="I404" s="97">
        <f t="shared" ca="1" si="814"/>
        <v>0.11800171037140457</v>
      </c>
      <c r="J404" s="97">
        <f t="shared" ref="J404:M404" ca="1" si="815">+J409*J408+J417*J416+J413*J412</f>
        <v>0.11667035007978127</v>
      </c>
      <c r="K404" s="97">
        <f t="shared" ca="1" si="815"/>
        <v>0.1167052809580631</v>
      </c>
      <c r="L404" s="97">
        <f t="shared" ca="1" si="815"/>
        <v>0.12481249198950628</v>
      </c>
      <c r="M404" s="97">
        <f t="shared" ca="1" si="815"/>
        <v>0.12366717322736231</v>
      </c>
    </row>
    <row r="405" spans="1:13" ht="15" customHeight="1">
      <c r="A405" s="102" t="s">
        <v>312</v>
      </c>
      <c r="B405" s="44">
        <f t="shared" ref="B405:I405" ca="1" si="816">+B409+B417+B413</f>
        <v>1</v>
      </c>
      <c r="C405" s="44">
        <f t="shared" ca="1" si="816"/>
        <v>1</v>
      </c>
      <c r="D405" s="44">
        <f t="shared" ca="1" si="816"/>
        <v>1</v>
      </c>
      <c r="E405" s="44">
        <f t="shared" ca="1" si="816"/>
        <v>0.99999999999999989</v>
      </c>
      <c r="F405" s="44">
        <f t="shared" ca="1" si="816"/>
        <v>1</v>
      </c>
      <c r="G405" s="44">
        <f t="shared" ca="1" si="816"/>
        <v>1</v>
      </c>
      <c r="H405" s="44">
        <f t="shared" ca="1" si="816"/>
        <v>1</v>
      </c>
      <c r="I405" s="44">
        <f t="shared" ca="1" si="816"/>
        <v>1</v>
      </c>
      <c r="J405" s="44">
        <f t="shared" ref="J405:M405" ca="1" si="817">+J409+J417+J413</f>
        <v>1</v>
      </c>
      <c r="K405" s="44">
        <f t="shared" ca="1" si="817"/>
        <v>0.99999999999999989</v>
      </c>
      <c r="L405" s="44">
        <f t="shared" ca="1" si="817"/>
        <v>1</v>
      </c>
      <c r="M405" s="44">
        <f t="shared" ca="1" si="817"/>
        <v>0.99999999999999989</v>
      </c>
    </row>
    <row r="406" spans="1:13" ht="15" customHeight="1">
      <c r="A406" s="102" t="s">
        <v>311</v>
      </c>
      <c r="B406" s="39">
        <f t="shared" ref="B406:I406" ca="1" si="818">+B579</f>
        <v>756451.55260673619</v>
      </c>
      <c r="C406" s="39">
        <f t="shared" ca="1" si="818"/>
        <v>791222.74621481216</v>
      </c>
      <c r="D406" s="39">
        <f t="shared" ca="1" si="818"/>
        <v>628760.04015354102</v>
      </c>
      <c r="E406" s="39">
        <f t="shared" ca="1" si="818"/>
        <v>593183.836580895</v>
      </c>
      <c r="F406" s="39">
        <f t="shared" ca="1" si="818"/>
        <v>506766.99958520418</v>
      </c>
      <c r="G406" s="39">
        <f t="shared" ca="1" si="818"/>
        <v>506516.49967645854</v>
      </c>
      <c r="H406" s="39">
        <f t="shared" ca="1" si="818"/>
        <v>473653.97287686914</v>
      </c>
      <c r="I406" s="39">
        <f t="shared" ca="1" si="818"/>
        <v>478571.67369201302</v>
      </c>
      <c r="J406" s="39">
        <f t="shared" ref="J406:M406" ca="1" si="819">+J579</f>
        <v>401009.18273060693</v>
      </c>
      <c r="K406" s="39">
        <f t="shared" ca="1" si="819"/>
        <v>482441.62687416829</v>
      </c>
      <c r="L406" s="39">
        <f t="shared" ca="1" si="819"/>
        <v>482920.79629793327</v>
      </c>
      <c r="M406" s="39">
        <f t="shared" ca="1" si="819"/>
        <v>550125.62161574443</v>
      </c>
    </row>
    <row r="408" spans="1:13" ht="15" customHeight="1">
      <c r="A408" s="102" t="s">
        <v>315</v>
      </c>
      <c r="B408" s="44">
        <f t="shared" ref="B408:I408" ca="1" si="820">B421</f>
        <v>8.9941630383142887E-2</v>
      </c>
      <c r="C408" s="44">
        <f t="shared" ca="1" si="820"/>
        <v>8.987549263961836E-2</v>
      </c>
      <c r="D408" s="44">
        <f t="shared" ca="1" si="820"/>
        <v>9.6809930319781384E-2</v>
      </c>
      <c r="E408" s="44">
        <f t="shared" ca="1" si="820"/>
        <v>0.11035014309094043</v>
      </c>
      <c r="F408" s="44">
        <f t="shared" ca="1" si="820"/>
        <v>0.10326327703126476</v>
      </c>
      <c r="G408" s="44">
        <f t="shared" ca="1" si="820"/>
        <v>0.10343954659570692</v>
      </c>
      <c r="H408" s="44">
        <f t="shared" ca="1" si="820"/>
        <v>0.10481392481813644</v>
      </c>
      <c r="I408" s="44">
        <f t="shared" ca="1" si="820"/>
        <v>0.12184022379332107</v>
      </c>
      <c r="J408" s="44">
        <f t="shared" ref="J408:M408" ca="1" si="821">J421</f>
        <v>0.11870445950456925</v>
      </c>
      <c r="K408" s="44">
        <f t="shared" ca="1" si="821"/>
        <v>0.11751978700984009</v>
      </c>
      <c r="L408" s="44">
        <f t="shared" ca="1" si="821"/>
        <v>0.12568607656672917</v>
      </c>
      <c r="M408" s="44">
        <f t="shared" ca="1" si="821"/>
        <v>0.1241856562694067</v>
      </c>
    </row>
    <row r="409" spans="1:13" ht="15" customHeight="1">
      <c r="A409" s="102" t="s">
        <v>314</v>
      </c>
      <c r="B409" s="44">
        <f t="shared" ref="B409:I409" ca="1" si="822">IF(B410+B418+B414=0,0,(B410/(B410+B418+B414)))</f>
        <v>0.93913519702620618</v>
      </c>
      <c r="C409" s="44">
        <f t="shared" ca="1" si="822"/>
        <v>0.95081367876437106</v>
      </c>
      <c r="D409" s="44">
        <f t="shared" ca="1" si="822"/>
        <v>0.94079301601631993</v>
      </c>
      <c r="E409" s="44">
        <f t="shared" ca="1" si="822"/>
        <v>0.96656349804329422</v>
      </c>
      <c r="F409" s="44">
        <f t="shared" ca="1" si="822"/>
        <v>0.96037041739396667</v>
      </c>
      <c r="G409" s="44">
        <f t="shared" ca="1" si="822"/>
        <v>0.96084538301361411</v>
      </c>
      <c r="H409" s="44">
        <f t="shared" ca="1" si="822"/>
        <v>0.95903732763786886</v>
      </c>
      <c r="I409" s="44">
        <f t="shared" ca="1" si="822"/>
        <v>0.96044409965405808</v>
      </c>
      <c r="J409" s="44">
        <f t="shared" ref="J409:M409" ca="1" si="823">IF(J410+J418+J414=0,0,(J410/(J410+J418+J414)))</f>
        <v>0.9799899636995606</v>
      </c>
      <c r="K409" s="44">
        <f t="shared" ca="1" si="823"/>
        <v>0.991903018307708</v>
      </c>
      <c r="L409" s="44">
        <f t="shared" ca="1" si="823"/>
        <v>0.99193560216606969</v>
      </c>
      <c r="M409" s="44">
        <f t="shared" ca="1" si="823"/>
        <v>0.99514668298267428</v>
      </c>
    </row>
    <row r="410" spans="1:13" ht="15" customHeight="1">
      <c r="A410" s="102" t="s">
        <v>313</v>
      </c>
      <c r="B410" s="39">
        <f t="shared" ref="B410:I410" ca="1" si="824">B580</f>
        <v>710410.27789810672</v>
      </c>
      <c r="C410" s="39">
        <f t="shared" ca="1" si="824"/>
        <v>752305.41005055385</v>
      </c>
      <c r="D410" s="39">
        <f t="shared" ca="1" si="824"/>
        <v>591533.05452659226</v>
      </c>
      <c r="E410" s="39">
        <f t="shared" ca="1" si="824"/>
        <v>573349.84406837169</v>
      </c>
      <c r="F410" s="39">
        <f t="shared" ca="1" si="824"/>
        <v>486684.03491313069</v>
      </c>
      <c r="G410" s="39">
        <f t="shared" ca="1" si="824"/>
        <v>486684.04013434192</v>
      </c>
      <c r="H410" s="39">
        <f t="shared" ca="1" si="824"/>
        <v>454251.84037289221</v>
      </c>
      <c r="I410" s="39">
        <f t="shared" ca="1" si="824"/>
        <v>459641.34025906114</v>
      </c>
      <c r="J410" s="39">
        <f t="shared" ref="J410:M410" ca="1" si="825">J580</f>
        <v>392984.97442735796</v>
      </c>
      <c r="K410" s="39">
        <f t="shared" ca="1" si="825"/>
        <v>478535.3058537686</v>
      </c>
      <c r="L410" s="39">
        <f t="shared" ca="1" si="825"/>
        <v>479026.3308743083</v>
      </c>
      <c r="M410" s="39">
        <f t="shared" ca="1" si="825"/>
        <v>547455.68757468986</v>
      </c>
    </row>
    <row r="412" spans="1:13" ht="15" customHeight="1">
      <c r="A412" s="102" t="s">
        <v>318</v>
      </c>
      <c r="B412" s="44">
        <f t="shared" ref="B412:I412" si="826">B543</f>
        <v>0</v>
      </c>
      <c r="C412" s="44">
        <f t="shared" si="826"/>
        <v>0</v>
      </c>
      <c r="D412" s="44">
        <f t="shared" si="826"/>
        <v>0</v>
      </c>
      <c r="E412" s="44">
        <f t="shared" si="826"/>
        <v>0</v>
      </c>
      <c r="F412" s="44">
        <f t="shared" si="826"/>
        <v>0</v>
      </c>
      <c r="G412" s="44">
        <f t="shared" si="826"/>
        <v>0</v>
      </c>
      <c r="H412" s="44">
        <f t="shared" si="826"/>
        <v>0</v>
      </c>
      <c r="I412" s="44">
        <f t="shared" si="826"/>
        <v>0</v>
      </c>
      <c r="J412" s="44">
        <f t="shared" ref="J412:M412" si="827">J543</f>
        <v>0</v>
      </c>
      <c r="K412" s="44">
        <f t="shared" si="827"/>
        <v>0</v>
      </c>
      <c r="L412" s="44">
        <f t="shared" si="827"/>
        <v>0</v>
      </c>
      <c r="M412" s="44">
        <f t="shared" si="827"/>
        <v>0</v>
      </c>
    </row>
    <row r="413" spans="1:13" ht="15" customHeight="1">
      <c r="A413" s="102" t="s">
        <v>317</v>
      </c>
      <c r="B413" s="44">
        <f t="shared" ref="B413:I413" ca="1" si="828">IF(B410+B418+B414=0,0,(B414/(B410+B418+B414)))</f>
        <v>0</v>
      </c>
      <c r="C413" s="44">
        <f t="shared" ca="1" si="828"/>
        <v>0</v>
      </c>
      <c r="D413" s="44">
        <f t="shared" ca="1" si="828"/>
        <v>0</v>
      </c>
      <c r="E413" s="44">
        <f t="shared" ca="1" si="828"/>
        <v>0</v>
      </c>
      <c r="F413" s="44">
        <f t="shared" ca="1" si="828"/>
        <v>0</v>
      </c>
      <c r="G413" s="44">
        <f t="shared" ca="1" si="828"/>
        <v>0</v>
      </c>
      <c r="H413" s="44">
        <f t="shared" ca="1" si="828"/>
        <v>0</v>
      </c>
      <c r="I413" s="44">
        <f t="shared" ca="1" si="828"/>
        <v>0</v>
      </c>
      <c r="J413" s="44">
        <f t="shared" ref="J413:M413" ca="1" si="829">IF(J410+J418+J414=0,0,(J414/(J410+J418+J414)))</f>
        <v>0</v>
      </c>
      <c r="K413" s="44">
        <f t="shared" ca="1" si="829"/>
        <v>0</v>
      </c>
      <c r="L413" s="44">
        <f t="shared" ca="1" si="829"/>
        <v>0</v>
      </c>
      <c r="M413" s="44">
        <f t="shared" ca="1" si="829"/>
        <v>0</v>
      </c>
    </row>
    <row r="414" spans="1:13" ht="15" customHeight="1">
      <c r="A414" s="102" t="s">
        <v>316</v>
      </c>
      <c r="B414" s="35">
        <f t="shared" ref="B414:I414" si="830">B581</f>
        <v>0</v>
      </c>
      <c r="C414" s="35">
        <f t="shared" si="830"/>
        <v>0</v>
      </c>
      <c r="D414" s="35">
        <f t="shared" si="830"/>
        <v>0</v>
      </c>
      <c r="E414" s="35">
        <f t="shared" si="830"/>
        <v>0</v>
      </c>
      <c r="F414" s="35">
        <f t="shared" si="830"/>
        <v>0</v>
      </c>
      <c r="G414" s="35">
        <f t="shared" si="830"/>
        <v>0</v>
      </c>
      <c r="H414" s="35">
        <f t="shared" si="830"/>
        <v>0</v>
      </c>
      <c r="I414" s="35">
        <f t="shared" si="830"/>
        <v>0</v>
      </c>
      <c r="J414" s="35">
        <f t="shared" ref="J414:M414" si="831">J581</f>
        <v>0</v>
      </c>
      <c r="K414" s="35">
        <f t="shared" si="831"/>
        <v>0</v>
      </c>
      <c r="L414" s="35">
        <f t="shared" si="831"/>
        <v>0</v>
      </c>
      <c r="M414" s="35">
        <f t="shared" si="831"/>
        <v>0</v>
      </c>
    </row>
    <row r="416" spans="1:13" ht="15" customHeight="1">
      <c r="A416" s="102" t="s">
        <v>321</v>
      </c>
      <c r="B416" s="44">
        <f t="shared" ref="B416:I416" ca="1" si="832">B546</f>
        <v>1.8880000000000001E-2</v>
      </c>
      <c r="C416" s="44">
        <f t="shared" ca="1" si="832"/>
        <v>1.9199999999999998E-2</v>
      </c>
      <c r="D416" s="44">
        <f t="shared" ca="1" si="832"/>
        <v>2.2272E-2</v>
      </c>
      <c r="E416" s="44">
        <f t="shared" ca="1" si="832"/>
        <v>2.232E-2</v>
      </c>
      <c r="F416" s="44">
        <f t="shared" ca="1" si="832"/>
        <v>2.2939999999999999E-2</v>
      </c>
      <c r="G416" s="44">
        <f t="shared" ca="1" si="832"/>
        <v>2.3063999999999998E-2</v>
      </c>
      <c r="H416" s="44">
        <f t="shared" ca="1" si="832"/>
        <v>2.5047999999999997E-2</v>
      </c>
      <c r="I416" s="44">
        <f t="shared" ca="1" si="832"/>
        <v>2.4799999999999999E-2</v>
      </c>
      <c r="J416" s="44">
        <f t="shared" ref="J416:M416" ca="1" si="833">J546</f>
        <v>1.7050000000000003E-2</v>
      </c>
      <c r="K416" s="44">
        <f t="shared" ca="1" si="833"/>
        <v>1.6926E-2</v>
      </c>
      <c r="L416" s="44">
        <f t="shared" ca="1" si="833"/>
        <v>1.7359999999999997E-2</v>
      </c>
      <c r="M416" s="44">
        <f t="shared" ca="1" si="833"/>
        <v>1.7355000000000002E-2</v>
      </c>
    </row>
    <row r="417" spans="1:13" ht="15" customHeight="1">
      <c r="A417" s="102" t="s">
        <v>320</v>
      </c>
      <c r="B417" s="44">
        <f t="shared" ref="B417:I417" ca="1" si="834">IF(B410+B418+B414=0,0,(B418/(B410+B418+B414)))</f>
        <v>6.0864802973793826E-2</v>
      </c>
      <c r="C417" s="44">
        <f t="shared" ca="1" si="834"/>
        <v>4.9186321235628966E-2</v>
      </c>
      <c r="D417" s="44">
        <f t="shared" ca="1" si="834"/>
        <v>5.9206983983680087E-2</v>
      </c>
      <c r="E417" s="44">
        <f t="shared" ca="1" si="834"/>
        <v>3.3436501956705701E-2</v>
      </c>
      <c r="F417" s="44">
        <f t="shared" ca="1" si="834"/>
        <v>3.9629582606033352E-2</v>
      </c>
      <c r="G417" s="44">
        <f t="shared" ca="1" si="834"/>
        <v>3.91546169863859E-2</v>
      </c>
      <c r="H417" s="44">
        <f t="shared" ca="1" si="834"/>
        <v>4.0962672362131101E-2</v>
      </c>
      <c r="I417" s="44">
        <f t="shared" ca="1" si="834"/>
        <v>3.9555900345941912E-2</v>
      </c>
      <c r="J417" s="44">
        <f t="shared" ref="J417:M417" ca="1" si="835">IF(J410+J418+J414=0,0,(J418/(J410+J418+J414)))</f>
        <v>2.0010036300439456E-2</v>
      </c>
      <c r="K417" s="44">
        <f t="shared" ca="1" si="835"/>
        <v>8.0969816922919335E-3</v>
      </c>
      <c r="L417" s="44">
        <f t="shared" ca="1" si="835"/>
        <v>8.0643978339303788E-3</v>
      </c>
      <c r="M417" s="44">
        <f t="shared" ca="1" si="835"/>
        <v>4.8533170173256507E-3</v>
      </c>
    </row>
    <row r="418" spans="1:13" ht="15" customHeight="1">
      <c r="A418" s="102" t="s">
        <v>319</v>
      </c>
      <c r="B418" s="39">
        <f t="shared" ref="B418:I418" ca="1" si="836">B582</f>
        <v>46041.274708629433</v>
      </c>
      <c r="C418" s="39">
        <f t="shared" ca="1" si="836"/>
        <v>38917.336164258282</v>
      </c>
      <c r="D418" s="39">
        <f t="shared" ca="1" si="836"/>
        <v>37226.98562694875</v>
      </c>
      <c r="E418" s="39">
        <f t="shared" ca="1" si="836"/>
        <v>19833.992512523291</v>
      </c>
      <c r="F418" s="39">
        <f t="shared" ca="1" si="836"/>
        <v>20082.964672073518</v>
      </c>
      <c r="G418" s="39">
        <f t="shared" ca="1" si="836"/>
        <v>19832.45954211659</v>
      </c>
      <c r="H418" s="39">
        <f t="shared" ca="1" si="836"/>
        <v>19402.132503976922</v>
      </c>
      <c r="I418" s="39">
        <f t="shared" ca="1" si="836"/>
        <v>18930.333432951898</v>
      </c>
      <c r="J418" s="39">
        <f t="shared" ref="J418:M418" ca="1" si="837">J582</f>
        <v>8024.2083032490036</v>
      </c>
      <c r="K418" s="39">
        <f t="shared" ca="1" si="837"/>
        <v>3906.3210203996769</v>
      </c>
      <c r="L418" s="39">
        <f t="shared" ca="1" si="837"/>
        <v>3894.4654236249871</v>
      </c>
      <c r="M418" s="39">
        <f t="shared" ca="1" si="837"/>
        <v>2669.9340410545442</v>
      </c>
    </row>
    <row r="420" spans="1:13" ht="15" customHeight="1">
      <c r="A420" s="23" t="s">
        <v>131</v>
      </c>
      <c r="B420" s="26"/>
      <c r="C420" s="26"/>
      <c r="D420" s="26"/>
      <c r="E420" s="26"/>
      <c r="F420" s="26"/>
      <c r="G420" s="26"/>
      <c r="H420" s="26"/>
      <c r="I420" s="26"/>
      <c r="J420" s="26"/>
      <c r="K420" s="26"/>
      <c r="L420" s="26"/>
      <c r="M420" s="26"/>
    </row>
    <row r="421" spans="1:13" ht="15" customHeight="1">
      <c r="A421" s="103" t="s">
        <v>308</v>
      </c>
      <c r="B421" s="53">
        <f t="shared" ref="B421:I421" ca="1" si="838">B429+B423*B428</f>
        <v>8.9941630383142887E-2</v>
      </c>
      <c r="C421" s="53">
        <f t="shared" ca="1" si="838"/>
        <v>8.987549263961836E-2</v>
      </c>
      <c r="D421" s="53">
        <f t="shared" ca="1" si="838"/>
        <v>9.6809930319781384E-2</v>
      </c>
      <c r="E421" s="53">
        <f t="shared" ca="1" si="838"/>
        <v>0.11035014309094043</v>
      </c>
      <c r="F421" s="53">
        <f t="shared" ca="1" si="838"/>
        <v>0.10326327703126476</v>
      </c>
      <c r="G421" s="53">
        <f t="shared" ca="1" si="838"/>
        <v>0.10343954659570692</v>
      </c>
      <c r="H421" s="53">
        <f t="shared" ca="1" si="838"/>
        <v>0.10481392481813644</v>
      </c>
      <c r="I421" s="53">
        <f t="shared" ca="1" si="838"/>
        <v>0.12184022379332107</v>
      </c>
      <c r="J421" s="53">
        <f t="shared" ref="J421:M421" ca="1" si="839">J429+J423*J428</f>
        <v>0.11870445950456925</v>
      </c>
      <c r="K421" s="53">
        <f t="shared" ca="1" si="839"/>
        <v>0.11751978700984009</v>
      </c>
      <c r="L421" s="53">
        <f t="shared" ca="1" si="839"/>
        <v>0.12568607656672917</v>
      </c>
      <c r="M421" s="53">
        <f t="shared" ca="1" si="839"/>
        <v>0.1241856562694067</v>
      </c>
    </row>
    <row r="423" spans="1:13" ht="15" customHeight="1">
      <c r="A423" s="102" t="s">
        <v>135</v>
      </c>
      <c r="B423" s="43">
        <f t="shared" ref="B423:I423" ca="1" si="840">B426*(1+(1-B424)*B425)</f>
        <v>1.0946143349022353</v>
      </c>
      <c r="C423" s="43">
        <f t="shared" ca="1" si="840"/>
        <v>1.0858169449749935</v>
      </c>
      <c r="D423" s="43">
        <f t="shared" ca="1" si="840"/>
        <v>1.0933521996352973</v>
      </c>
      <c r="E423" s="43">
        <f t="shared" ca="1" si="840"/>
        <v>1.2724858470132865</v>
      </c>
      <c r="F423" s="43">
        <f t="shared" ca="1" si="840"/>
        <v>1.2762713905926841</v>
      </c>
      <c r="G423" s="43">
        <f t="shared" ca="1" si="840"/>
        <v>1.2758742600579398</v>
      </c>
      <c r="H423" s="43">
        <f t="shared" ca="1" si="840"/>
        <v>1.2773881213914726</v>
      </c>
      <c r="I423" s="43">
        <f t="shared" ca="1" si="840"/>
        <v>1.3905550780467433</v>
      </c>
      <c r="J423" s="43">
        <f t="shared" ref="J423:M423" ca="1" si="841">J426*(1+(1-J424)*J425)</f>
        <v>1.3560693601704195</v>
      </c>
      <c r="K423" s="43">
        <f t="shared" ca="1" si="841"/>
        <v>1.3458941725246194</v>
      </c>
      <c r="L423" s="43">
        <f t="shared" ca="1" si="841"/>
        <v>1.4494204009372191</v>
      </c>
      <c r="M423" s="43">
        <f t="shared" ca="1" si="841"/>
        <v>1.4467228073674405</v>
      </c>
    </row>
    <row r="424" spans="1:13" ht="15" customHeight="1">
      <c r="A424" s="103" t="s">
        <v>24</v>
      </c>
      <c r="B424" s="42">
        <f t="shared" ref="B424:I424" si="842">B547</f>
        <v>0.36</v>
      </c>
      <c r="C424" s="42">
        <f t="shared" si="842"/>
        <v>0.36</v>
      </c>
      <c r="D424" s="42">
        <f t="shared" si="842"/>
        <v>0.36</v>
      </c>
      <c r="E424" s="42">
        <f t="shared" si="842"/>
        <v>0.38</v>
      </c>
      <c r="F424" s="42">
        <f t="shared" si="842"/>
        <v>0.38</v>
      </c>
      <c r="G424" s="42">
        <f t="shared" si="842"/>
        <v>0.38</v>
      </c>
      <c r="H424" s="42">
        <f t="shared" si="842"/>
        <v>0.38</v>
      </c>
      <c r="I424" s="42">
        <f t="shared" si="842"/>
        <v>0.38</v>
      </c>
      <c r="J424" s="42">
        <f t="shared" ref="J424:M424" si="843">J547</f>
        <v>0.38</v>
      </c>
      <c r="K424" s="42">
        <f t="shared" si="843"/>
        <v>0.38</v>
      </c>
      <c r="L424" s="42">
        <f t="shared" si="843"/>
        <v>0.38</v>
      </c>
      <c r="M424" s="42">
        <f t="shared" si="843"/>
        <v>0.35</v>
      </c>
    </row>
    <row r="425" spans="1:13" ht="15" customHeight="1">
      <c r="A425" s="103" t="s">
        <v>133</v>
      </c>
      <c r="B425" s="42">
        <f t="shared" ref="B425:I425" ca="1" si="844">IF(B410=0,0,B418/B410)</f>
        <v>6.4809415264728304E-2</v>
      </c>
      <c r="C425" s="42">
        <f t="shared" ca="1" si="844"/>
        <v>5.1730767377630708E-2</v>
      </c>
      <c r="D425" s="42">
        <f t="shared" ca="1" si="844"/>
        <v>6.2933060700626015E-2</v>
      </c>
      <c r="E425" s="42">
        <f t="shared" ca="1" si="844"/>
        <v>3.459317677979188E-2</v>
      </c>
      <c r="F425" s="42">
        <f t="shared" ca="1" si="844"/>
        <v>4.1264893095698467E-2</v>
      </c>
      <c r="G425" s="42">
        <f t="shared" ca="1" si="844"/>
        <v>4.0750174459475048E-2</v>
      </c>
      <c r="H425" s="42">
        <f t="shared" ca="1" si="844"/>
        <v>4.271228155740623E-2</v>
      </c>
      <c r="I425" s="42">
        <f t="shared" ca="1" si="844"/>
        <v>4.1185010517727723E-2</v>
      </c>
      <c r="J425" s="42">
        <f t="shared" ref="J425:M425" ca="1" si="845">IF(J410=0,0,J418/J410)</f>
        <v>2.0418613497733749E-2</v>
      </c>
      <c r="K425" s="42">
        <f t="shared" ca="1" si="845"/>
        <v>8.1630779852915909E-3</v>
      </c>
      <c r="L425" s="42">
        <f t="shared" ca="1" si="845"/>
        <v>8.1299610744087793E-3</v>
      </c>
      <c r="M425" s="42">
        <f t="shared" ca="1" si="845"/>
        <v>4.8769865792841595E-3</v>
      </c>
    </row>
    <row r="426" spans="1:13" ht="15" customHeight="1">
      <c r="A426" s="103" t="s">
        <v>134</v>
      </c>
      <c r="B426" s="43">
        <f t="shared" ref="B426:I426" ca="1" si="846">B828</f>
        <v>1.0510200962651641</v>
      </c>
      <c r="C426" s="43">
        <f t="shared" ca="1" si="846"/>
        <v>1.0510200962651641</v>
      </c>
      <c r="D426" s="43">
        <f t="shared" ca="1" si="846"/>
        <v>1.0510200962651641</v>
      </c>
      <c r="E426" s="43">
        <f t="shared" ca="1" si="846"/>
        <v>1.2457669250257106</v>
      </c>
      <c r="F426" s="43">
        <f t="shared" ca="1" si="846"/>
        <v>1.2444335127542099</v>
      </c>
      <c r="G426" s="43">
        <f t="shared" ca="1" si="846"/>
        <v>1.2444335127542099</v>
      </c>
      <c r="H426" s="43">
        <f t="shared" ca="1" si="846"/>
        <v>1.2444335127542099</v>
      </c>
      <c r="I426" s="43">
        <f t="shared" ca="1" si="846"/>
        <v>1.3559317585301836</v>
      </c>
      <c r="J426" s="43">
        <f t="shared" ref="J426:M426" ca="1" si="847">J828</f>
        <v>1.3391167575203289</v>
      </c>
      <c r="K426" s="43">
        <f t="shared" ca="1" si="847"/>
        <v>1.3391167575203289</v>
      </c>
      <c r="L426" s="43">
        <f t="shared" ca="1" si="847"/>
        <v>1.442151128762263</v>
      </c>
      <c r="M426" s="43">
        <f t="shared" ca="1" si="847"/>
        <v>1.442151128762263</v>
      </c>
    </row>
    <row r="427" spans="1:13" ht="15" customHeight="1">
      <c r="A427" s="103"/>
      <c r="B427" s="43"/>
      <c r="C427" s="43"/>
      <c r="D427" s="43"/>
      <c r="E427" s="43"/>
      <c r="F427" s="43"/>
      <c r="G427" s="43"/>
      <c r="H427" s="43"/>
      <c r="I427" s="43"/>
      <c r="J427" s="43"/>
      <c r="K427" s="43"/>
      <c r="L427" s="43"/>
      <c r="M427" s="43"/>
    </row>
    <row r="428" spans="1:13" ht="15" customHeight="1">
      <c r="A428" s="103" t="s">
        <v>132</v>
      </c>
      <c r="B428" s="38">
        <f t="shared" ref="B428:I428" ca="1" si="848">B829</f>
        <v>6.4352921514986672E-2</v>
      </c>
      <c r="C428" s="38">
        <f t="shared" ca="1" si="848"/>
        <v>6.4352921514986672E-2</v>
      </c>
      <c r="D428" s="38">
        <f t="shared" ca="1" si="848"/>
        <v>6.5861604653835504E-2</v>
      </c>
      <c r="E428" s="38">
        <f t="shared" ca="1" si="848"/>
        <v>6.6287686648085528E-2</v>
      </c>
      <c r="F428" s="38">
        <f t="shared" ca="1" si="848"/>
        <v>5.9754749337324775E-2</v>
      </c>
      <c r="G428" s="38">
        <f t="shared" ca="1" si="848"/>
        <v>5.9754749337324775E-2</v>
      </c>
      <c r="H428" s="38">
        <f t="shared" ca="1" si="848"/>
        <v>5.8254749337324781E-2</v>
      </c>
      <c r="I428" s="38">
        <f t="shared" ca="1" si="848"/>
        <v>6.6045728963375794E-2</v>
      </c>
      <c r="J428" s="38">
        <f t="shared" ref="J428:M428" ca="1" si="849">J829</f>
        <v>7.4630739752021766E-2</v>
      </c>
      <c r="K428" s="38">
        <f t="shared" ca="1" si="849"/>
        <v>7.4463348646386124E-2</v>
      </c>
      <c r="L428" s="38">
        <f t="shared" ca="1" si="849"/>
        <v>7.4295957540750482E-2</v>
      </c>
      <c r="M428" s="38">
        <f t="shared" ca="1" si="849"/>
        <v>7.4295957540750482E-2</v>
      </c>
    </row>
    <row r="429" spans="1:13" ht="15" customHeight="1">
      <c r="A429" s="102" t="s">
        <v>105</v>
      </c>
      <c r="B429" s="38">
        <f t="shared" ref="B429:I429" si="850">B564</f>
        <v>1.95E-2</v>
      </c>
      <c r="C429" s="38">
        <f t="shared" si="850"/>
        <v>0.02</v>
      </c>
      <c r="D429" s="38">
        <f t="shared" si="850"/>
        <v>2.4799999999999999E-2</v>
      </c>
      <c r="E429" s="38">
        <f t="shared" si="850"/>
        <v>2.5999999999999999E-2</v>
      </c>
      <c r="F429" s="38">
        <f t="shared" si="850"/>
        <v>2.7E-2</v>
      </c>
      <c r="G429" s="38">
        <f t="shared" si="850"/>
        <v>2.7199999999999998E-2</v>
      </c>
      <c r="H429" s="38">
        <f t="shared" si="850"/>
        <v>3.04E-2</v>
      </c>
      <c r="I429" s="38">
        <f t="shared" si="850"/>
        <v>0.03</v>
      </c>
      <c r="J429" s="38">
        <f t="shared" ref="J429:M429" si="851">J564</f>
        <v>1.7500000000000002E-2</v>
      </c>
      <c r="K429" s="38">
        <f t="shared" si="851"/>
        <v>1.7299999999999999E-2</v>
      </c>
      <c r="L429" s="38">
        <f t="shared" si="851"/>
        <v>1.7999999999999999E-2</v>
      </c>
      <c r="M429" s="38">
        <f t="shared" si="851"/>
        <v>1.67E-2</v>
      </c>
    </row>
    <row r="430" spans="1:13" ht="15" customHeight="1">
      <c r="A430" s="104"/>
      <c r="B430" s="50"/>
      <c r="C430" s="50"/>
      <c r="D430" s="50"/>
      <c r="E430" s="50"/>
      <c r="F430" s="50"/>
      <c r="G430" s="50"/>
      <c r="H430" s="50"/>
      <c r="I430" s="50"/>
      <c r="J430" s="50"/>
      <c r="K430" s="50"/>
      <c r="L430" s="50"/>
      <c r="M430" s="50"/>
    </row>
    <row r="431" spans="1:13" ht="15" customHeight="1">
      <c r="A431" s="3" t="s">
        <v>505</v>
      </c>
      <c r="B431" s="107" t="str">
        <f t="shared" ref="B431:M431" si="852">B$831</f>
        <v>Multi Business (Global Industry Averages)</v>
      </c>
      <c r="C431" s="107" t="str">
        <f t="shared" si="852"/>
        <v>Multi Business (Global Industry Averages)</v>
      </c>
      <c r="D431" s="107" t="str">
        <f t="shared" si="852"/>
        <v>Multi Business (Global Industry Averages)</v>
      </c>
      <c r="E431" s="107" t="str">
        <f t="shared" si="852"/>
        <v>Multi Business (Global Industry Averages)</v>
      </c>
      <c r="F431" s="107" t="str">
        <f t="shared" si="852"/>
        <v>Multi Business (Global Industry Averages)</v>
      </c>
      <c r="G431" s="107" t="str">
        <f t="shared" si="852"/>
        <v>Multi Business (Global Industry Averages)</v>
      </c>
      <c r="H431" s="107" t="str">
        <f t="shared" si="852"/>
        <v>Multi Business (Global Industry Averages)</v>
      </c>
      <c r="I431" s="107" t="str">
        <f t="shared" si="852"/>
        <v>Multi Business (Global Industry Averages)</v>
      </c>
      <c r="J431" s="107" t="str">
        <f t="shared" si="852"/>
        <v>Multi Business (Global Industry Averages)</v>
      </c>
      <c r="K431" s="107" t="str">
        <f t="shared" si="852"/>
        <v>Multi Business (Global Industry Averages)</v>
      </c>
      <c r="L431" s="107" t="str">
        <f t="shared" si="852"/>
        <v>Multi Business (Global Industry Averages)</v>
      </c>
      <c r="M431" s="107" t="str">
        <f t="shared" si="852"/>
        <v>Multi Business (Global Industry Averages)</v>
      </c>
    </row>
    <row r="432" spans="1:13" ht="15" customHeight="1">
      <c r="A432" s="10" t="s">
        <v>53</v>
      </c>
      <c r="B432" s="29">
        <f t="shared" ref="B432:I432" si="853">+SUMPRODUCT(B433:B442,B445:B454)</f>
        <v>1.0510200962651641</v>
      </c>
      <c r="C432" s="29">
        <f t="shared" si="853"/>
        <v>1.0510200962651641</v>
      </c>
      <c r="D432" s="29">
        <f t="shared" si="853"/>
        <v>1.0510200962651641</v>
      </c>
      <c r="E432" s="29">
        <f t="shared" si="853"/>
        <v>1.2457669250257106</v>
      </c>
      <c r="F432" s="29">
        <f t="shared" si="853"/>
        <v>1.2444335127542099</v>
      </c>
      <c r="G432" s="29">
        <f t="shared" si="853"/>
        <v>1.2444335127542099</v>
      </c>
      <c r="H432" s="29">
        <f t="shared" si="853"/>
        <v>1.2444335127542099</v>
      </c>
      <c r="I432" s="29">
        <f t="shared" si="853"/>
        <v>1.3559317585301836</v>
      </c>
      <c r="J432" s="29">
        <f t="shared" ref="J432:M432" si="854">+SUMPRODUCT(J433:J442,J445:J454)</f>
        <v>1.3391167575203289</v>
      </c>
      <c r="K432" s="29">
        <f t="shared" si="854"/>
        <v>1.3391167575203289</v>
      </c>
      <c r="L432" s="29">
        <f t="shared" si="854"/>
        <v>1.442151128762263</v>
      </c>
      <c r="M432" s="29">
        <f t="shared" si="854"/>
        <v>1.442151128762263</v>
      </c>
    </row>
    <row r="433" spans="1:13" ht="15" customHeight="1">
      <c r="A433" s="10" t="s">
        <v>40</v>
      </c>
      <c r="B433" s="136">
        <f t="shared" ref="B433:B442" si="855">B832</f>
        <v>1.0510200962651641</v>
      </c>
      <c r="C433" s="136">
        <f t="shared" ref="C433:D433" si="856">C832</f>
        <v>1.0510200962651641</v>
      </c>
      <c r="D433" s="136">
        <f t="shared" si="856"/>
        <v>1.0510200962651641</v>
      </c>
      <c r="E433" s="136">
        <f t="shared" ref="E433:F433" si="857">E832</f>
        <v>1.2457669250257106</v>
      </c>
      <c r="F433" s="136">
        <f t="shared" si="857"/>
        <v>1.2444335127542099</v>
      </c>
      <c r="G433" s="136">
        <f t="shared" ref="G433:H433" si="858">G832</f>
        <v>1.2444335127542099</v>
      </c>
      <c r="H433" s="136">
        <f t="shared" si="858"/>
        <v>1.2444335127542099</v>
      </c>
      <c r="I433" s="136">
        <f t="shared" ref="I433:L433" si="859">I832</f>
        <v>1.3559317585301836</v>
      </c>
      <c r="J433" s="136">
        <f t="shared" si="859"/>
        <v>1.3391167575203289</v>
      </c>
      <c r="K433" s="136">
        <f t="shared" si="859"/>
        <v>1.3391167575203289</v>
      </c>
      <c r="L433" s="136">
        <f t="shared" si="859"/>
        <v>1.442151128762263</v>
      </c>
      <c r="M433" s="136">
        <f t="shared" ref="M433" si="860">M832</f>
        <v>1.442151128762263</v>
      </c>
    </row>
    <row r="434" spans="1:13" ht="15" customHeight="1">
      <c r="A434" s="10" t="s">
        <v>41</v>
      </c>
      <c r="B434" s="136">
        <f t="shared" si="855"/>
        <v>0</v>
      </c>
      <c r="C434" s="136">
        <f t="shared" ref="C434:D434" si="861">C833</f>
        <v>0</v>
      </c>
      <c r="D434" s="136">
        <f t="shared" si="861"/>
        <v>0</v>
      </c>
      <c r="E434" s="136">
        <f t="shared" ref="E434:F434" si="862">E833</f>
        <v>0</v>
      </c>
      <c r="F434" s="136">
        <f t="shared" si="862"/>
        <v>0</v>
      </c>
      <c r="G434" s="136">
        <f t="shared" ref="G434:H434" si="863">G833</f>
        <v>0</v>
      </c>
      <c r="H434" s="136">
        <f t="shared" si="863"/>
        <v>0</v>
      </c>
      <c r="I434" s="136">
        <f t="shared" ref="I434:L434" si="864">I833</f>
        <v>0</v>
      </c>
      <c r="J434" s="136">
        <f t="shared" si="864"/>
        <v>0</v>
      </c>
      <c r="K434" s="136">
        <f t="shared" si="864"/>
        <v>0</v>
      </c>
      <c r="L434" s="136">
        <f t="shared" si="864"/>
        <v>0</v>
      </c>
      <c r="M434" s="136">
        <f t="shared" ref="M434" si="865">M833</f>
        <v>0</v>
      </c>
    </row>
    <row r="435" spans="1:13" ht="15" customHeight="1">
      <c r="A435" s="10" t="s">
        <v>42</v>
      </c>
      <c r="B435" s="136">
        <f t="shared" si="855"/>
        <v>0</v>
      </c>
      <c r="C435" s="136">
        <f t="shared" ref="C435:D435" si="866">C834</f>
        <v>0</v>
      </c>
      <c r="D435" s="136">
        <f t="shared" si="866"/>
        <v>0</v>
      </c>
      <c r="E435" s="136">
        <f t="shared" ref="E435:F435" si="867">E834</f>
        <v>0</v>
      </c>
      <c r="F435" s="136">
        <f t="shared" si="867"/>
        <v>0</v>
      </c>
      <c r="G435" s="136">
        <f t="shared" ref="G435:H435" si="868">G834</f>
        <v>0</v>
      </c>
      <c r="H435" s="136">
        <f t="shared" si="868"/>
        <v>0</v>
      </c>
      <c r="I435" s="136">
        <f t="shared" ref="I435:L435" si="869">I834</f>
        <v>0</v>
      </c>
      <c r="J435" s="136">
        <f t="shared" si="869"/>
        <v>0</v>
      </c>
      <c r="K435" s="136">
        <f t="shared" si="869"/>
        <v>0</v>
      </c>
      <c r="L435" s="136">
        <f t="shared" si="869"/>
        <v>0</v>
      </c>
      <c r="M435" s="136">
        <f t="shared" ref="M435" si="870">M834</f>
        <v>0</v>
      </c>
    </row>
    <row r="436" spans="1:13" ht="15" customHeight="1">
      <c r="A436" s="10" t="s">
        <v>43</v>
      </c>
      <c r="B436" s="136">
        <f t="shared" si="855"/>
        <v>0</v>
      </c>
      <c r="C436" s="136">
        <f t="shared" ref="C436:D436" si="871">C835</f>
        <v>0</v>
      </c>
      <c r="D436" s="136">
        <f t="shared" si="871"/>
        <v>0</v>
      </c>
      <c r="E436" s="136">
        <f t="shared" ref="E436:F436" si="872">E835</f>
        <v>0</v>
      </c>
      <c r="F436" s="136">
        <f t="shared" si="872"/>
        <v>0</v>
      </c>
      <c r="G436" s="136">
        <f t="shared" ref="G436:H436" si="873">G835</f>
        <v>0</v>
      </c>
      <c r="H436" s="136">
        <f t="shared" si="873"/>
        <v>0</v>
      </c>
      <c r="I436" s="136">
        <f t="shared" ref="I436:L436" si="874">I835</f>
        <v>0</v>
      </c>
      <c r="J436" s="136">
        <f t="shared" si="874"/>
        <v>0</v>
      </c>
      <c r="K436" s="136">
        <f t="shared" si="874"/>
        <v>0</v>
      </c>
      <c r="L436" s="136">
        <f t="shared" si="874"/>
        <v>0</v>
      </c>
      <c r="M436" s="136">
        <f t="shared" ref="M436" si="875">M835</f>
        <v>0</v>
      </c>
    </row>
    <row r="437" spans="1:13" ht="15" customHeight="1">
      <c r="A437" s="10" t="s">
        <v>44</v>
      </c>
      <c r="B437" s="136">
        <f t="shared" si="855"/>
        <v>0</v>
      </c>
      <c r="C437" s="136">
        <f t="shared" ref="C437:D437" si="876">C836</f>
        <v>0</v>
      </c>
      <c r="D437" s="136">
        <f t="shared" si="876"/>
        <v>0</v>
      </c>
      <c r="E437" s="136">
        <f t="shared" ref="E437:F437" si="877">E836</f>
        <v>0</v>
      </c>
      <c r="F437" s="136">
        <f t="shared" si="877"/>
        <v>0</v>
      </c>
      <c r="G437" s="136">
        <f t="shared" ref="G437:H437" si="878">G836</f>
        <v>0</v>
      </c>
      <c r="H437" s="136">
        <f t="shared" si="878"/>
        <v>0</v>
      </c>
      <c r="I437" s="136">
        <f t="shared" ref="I437:L437" si="879">I836</f>
        <v>0</v>
      </c>
      <c r="J437" s="136">
        <f t="shared" si="879"/>
        <v>0</v>
      </c>
      <c r="K437" s="136">
        <f t="shared" si="879"/>
        <v>0</v>
      </c>
      <c r="L437" s="136">
        <f t="shared" si="879"/>
        <v>0</v>
      </c>
      <c r="M437" s="136">
        <f t="shared" ref="M437" si="880">M836</f>
        <v>0</v>
      </c>
    </row>
    <row r="438" spans="1:13" ht="15" customHeight="1">
      <c r="A438" s="10" t="s">
        <v>45</v>
      </c>
      <c r="B438" s="136">
        <f t="shared" si="855"/>
        <v>0</v>
      </c>
      <c r="C438" s="136">
        <f t="shared" ref="C438:D438" si="881">C837</f>
        <v>0</v>
      </c>
      <c r="D438" s="136">
        <f t="shared" si="881"/>
        <v>0</v>
      </c>
      <c r="E438" s="136">
        <f t="shared" ref="E438:F438" si="882">E837</f>
        <v>0</v>
      </c>
      <c r="F438" s="136">
        <f t="shared" si="882"/>
        <v>0</v>
      </c>
      <c r="G438" s="136">
        <f t="shared" ref="G438:H438" si="883">G837</f>
        <v>0</v>
      </c>
      <c r="H438" s="136">
        <f t="shared" si="883"/>
        <v>0</v>
      </c>
      <c r="I438" s="136">
        <f t="shared" ref="I438:L438" si="884">I837</f>
        <v>0</v>
      </c>
      <c r="J438" s="136">
        <f t="shared" si="884"/>
        <v>0</v>
      </c>
      <c r="K438" s="136">
        <f t="shared" si="884"/>
        <v>0</v>
      </c>
      <c r="L438" s="136">
        <f t="shared" si="884"/>
        <v>0</v>
      </c>
      <c r="M438" s="136">
        <f t="shared" ref="M438" si="885">M837</f>
        <v>0</v>
      </c>
    </row>
    <row r="439" spans="1:13" ht="15" customHeight="1">
      <c r="A439" s="10" t="s">
        <v>46</v>
      </c>
      <c r="B439" s="136">
        <f t="shared" si="855"/>
        <v>0</v>
      </c>
      <c r="C439" s="136">
        <f t="shared" ref="C439:D439" si="886">C838</f>
        <v>0</v>
      </c>
      <c r="D439" s="136">
        <f t="shared" si="886"/>
        <v>0</v>
      </c>
      <c r="E439" s="136">
        <f t="shared" ref="E439:F439" si="887">E838</f>
        <v>0</v>
      </c>
      <c r="F439" s="136">
        <f t="shared" si="887"/>
        <v>0</v>
      </c>
      <c r="G439" s="136">
        <f t="shared" ref="G439:H439" si="888">G838</f>
        <v>0</v>
      </c>
      <c r="H439" s="136">
        <f t="shared" si="888"/>
        <v>0</v>
      </c>
      <c r="I439" s="136">
        <f t="shared" ref="I439:L439" si="889">I838</f>
        <v>0</v>
      </c>
      <c r="J439" s="136">
        <f t="shared" si="889"/>
        <v>0</v>
      </c>
      <c r="K439" s="136">
        <f t="shared" si="889"/>
        <v>0</v>
      </c>
      <c r="L439" s="136">
        <f t="shared" si="889"/>
        <v>0</v>
      </c>
      <c r="M439" s="136">
        <f t="shared" ref="M439" si="890">M838</f>
        <v>0</v>
      </c>
    </row>
    <row r="440" spans="1:13" ht="15" customHeight="1">
      <c r="A440" s="10" t="s">
        <v>47</v>
      </c>
      <c r="B440" s="136">
        <f t="shared" si="855"/>
        <v>0</v>
      </c>
      <c r="C440" s="136">
        <f t="shared" ref="C440:D440" si="891">C839</f>
        <v>0</v>
      </c>
      <c r="D440" s="136">
        <f t="shared" si="891"/>
        <v>0</v>
      </c>
      <c r="E440" s="136">
        <f t="shared" ref="E440:F440" si="892">E839</f>
        <v>0</v>
      </c>
      <c r="F440" s="136">
        <f t="shared" si="892"/>
        <v>0</v>
      </c>
      <c r="G440" s="136">
        <f t="shared" ref="G440:H440" si="893">G839</f>
        <v>0</v>
      </c>
      <c r="H440" s="136">
        <f t="shared" si="893"/>
        <v>0</v>
      </c>
      <c r="I440" s="136">
        <f t="shared" ref="I440:L440" si="894">I839</f>
        <v>0</v>
      </c>
      <c r="J440" s="136">
        <f t="shared" si="894"/>
        <v>0</v>
      </c>
      <c r="K440" s="136">
        <f t="shared" si="894"/>
        <v>0</v>
      </c>
      <c r="L440" s="136">
        <f t="shared" si="894"/>
        <v>0</v>
      </c>
      <c r="M440" s="136">
        <f t="shared" ref="M440" si="895">M839</f>
        <v>0</v>
      </c>
    </row>
    <row r="441" spans="1:13" ht="15" customHeight="1">
      <c r="A441" s="10" t="s">
        <v>48</v>
      </c>
      <c r="B441" s="136">
        <f t="shared" si="855"/>
        <v>0</v>
      </c>
      <c r="C441" s="136">
        <f t="shared" ref="C441:D441" si="896">C840</f>
        <v>0</v>
      </c>
      <c r="D441" s="136">
        <f t="shared" si="896"/>
        <v>0</v>
      </c>
      <c r="E441" s="136">
        <f t="shared" ref="E441:F441" si="897">E840</f>
        <v>0</v>
      </c>
      <c r="F441" s="136">
        <f t="shared" si="897"/>
        <v>0</v>
      </c>
      <c r="G441" s="136">
        <f t="shared" ref="G441:H441" si="898">G840</f>
        <v>0</v>
      </c>
      <c r="H441" s="136">
        <f t="shared" si="898"/>
        <v>0</v>
      </c>
      <c r="I441" s="136">
        <f t="shared" ref="I441:L441" si="899">I840</f>
        <v>0</v>
      </c>
      <c r="J441" s="136">
        <f t="shared" si="899"/>
        <v>0</v>
      </c>
      <c r="K441" s="136">
        <f t="shared" si="899"/>
        <v>0</v>
      </c>
      <c r="L441" s="136">
        <f t="shared" si="899"/>
        <v>0</v>
      </c>
      <c r="M441" s="136">
        <f t="shared" ref="M441" si="900">M840</f>
        <v>0</v>
      </c>
    </row>
    <row r="442" spans="1:13" ht="15" customHeight="1">
      <c r="A442" s="10" t="s">
        <v>49</v>
      </c>
      <c r="B442" s="136">
        <f t="shared" si="855"/>
        <v>0</v>
      </c>
      <c r="C442" s="136">
        <f t="shared" ref="C442:D442" si="901">C841</f>
        <v>0</v>
      </c>
      <c r="D442" s="136">
        <f t="shared" si="901"/>
        <v>0</v>
      </c>
      <c r="E442" s="136">
        <f t="shared" ref="E442:F442" si="902">E841</f>
        <v>0</v>
      </c>
      <c r="F442" s="136">
        <f t="shared" si="902"/>
        <v>0</v>
      </c>
      <c r="G442" s="136">
        <f t="shared" ref="G442:H442" si="903">G841</f>
        <v>0</v>
      </c>
      <c r="H442" s="136">
        <f t="shared" si="903"/>
        <v>0</v>
      </c>
      <c r="I442" s="136">
        <f t="shared" ref="I442:L442" si="904">I841</f>
        <v>0</v>
      </c>
      <c r="J442" s="136">
        <f t="shared" si="904"/>
        <v>0</v>
      </c>
      <c r="K442" s="136">
        <f t="shared" si="904"/>
        <v>0</v>
      </c>
      <c r="L442" s="136">
        <f t="shared" si="904"/>
        <v>0</v>
      </c>
      <c r="M442" s="136">
        <f t="shared" ref="M442" si="905">M841</f>
        <v>0</v>
      </c>
    </row>
    <row r="443" spans="1:13" ht="15" customHeight="1">
      <c r="A443" s="10"/>
      <c r="B443" s="31"/>
      <c r="C443" s="31"/>
      <c r="D443" s="31"/>
      <c r="E443" s="31"/>
      <c r="F443" s="31"/>
      <c r="G443" s="31"/>
      <c r="H443" s="31"/>
      <c r="I443" s="31"/>
      <c r="J443" s="31"/>
      <c r="K443" s="31"/>
      <c r="L443" s="31"/>
      <c r="M443" s="31"/>
    </row>
    <row r="444" spans="1:13" ht="15" customHeight="1">
      <c r="A444" s="10" t="s">
        <v>54</v>
      </c>
      <c r="B444" s="17">
        <f t="shared" ref="B444:I444" si="906">+SUM(B445:B454)</f>
        <v>1</v>
      </c>
      <c r="C444" s="17">
        <f t="shared" si="906"/>
        <v>1</v>
      </c>
      <c r="D444" s="17">
        <f t="shared" si="906"/>
        <v>1</v>
      </c>
      <c r="E444" s="17">
        <f t="shared" si="906"/>
        <v>1</v>
      </c>
      <c r="F444" s="17">
        <f t="shared" si="906"/>
        <v>1</v>
      </c>
      <c r="G444" s="17">
        <f t="shared" si="906"/>
        <v>1</v>
      </c>
      <c r="H444" s="17">
        <f t="shared" si="906"/>
        <v>1</v>
      </c>
      <c r="I444" s="17">
        <f t="shared" si="906"/>
        <v>1</v>
      </c>
      <c r="J444" s="17">
        <f t="shared" ref="J444:M444" si="907">+SUM(J445:J454)</f>
        <v>1</v>
      </c>
      <c r="K444" s="17">
        <f t="shared" si="907"/>
        <v>1</v>
      </c>
      <c r="L444" s="17">
        <f t="shared" si="907"/>
        <v>1</v>
      </c>
      <c r="M444" s="17">
        <f t="shared" si="907"/>
        <v>1</v>
      </c>
    </row>
    <row r="445" spans="1:13" ht="15" customHeight="1">
      <c r="A445" s="10" t="str">
        <f t="shared" ref="A445:A454" si="908">A433</f>
        <v>B1</v>
      </c>
      <c r="B445" s="25">
        <f t="shared" ref="B445:I445" si="909">+B457/B456</f>
        <v>1</v>
      </c>
      <c r="C445" s="25">
        <f t="shared" si="909"/>
        <v>1</v>
      </c>
      <c r="D445" s="25">
        <f t="shared" si="909"/>
        <v>1</v>
      </c>
      <c r="E445" s="25">
        <f t="shared" si="909"/>
        <v>1</v>
      </c>
      <c r="F445" s="25">
        <f t="shared" si="909"/>
        <v>1</v>
      </c>
      <c r="G445" s="25">
        <f t="shared" si="909"/>
        <v>1</v>
      </c>
      <c r="H445" s="25">
        <f t="shared" si="909"/>
        <v>1</v>
      </c>
      <c r="I445" s="25">
        <f t="shared" si="909"/>
        <v>1</v>
      </c>
      <c r="J445" s="25">
        <f t="shared" ref="J445:M445" si="910">+J457/J456</f>
        <v>1</v>
      </c>
      <c r="K445" s="25">
        <f t="shared" si="910"/>
        <v>1</v>
      </c>
      <c r="L445" s="25">
        <f t="shared" si="910"/>
        <v>1</v>
      </c>
      <c r="M445" s="25">
        <f t="shared" si="910"/>
        <v>1</v>
      </c>
    </row>
    <row r="446" spans="1:13" ht="15" customHeight="1">
      <c r="A446" s="10" t="str">
        <f t="shared" si="908"/>
        <v>B2</v>
      </c>
      <c r="B446" s="25">
        <f t="shared" ref="B446:I446" si="911">+B458/B456</f>
        <v>0</v>
      </c>
      <c r="C446" s="25">
        <f t="shared" si="911"/>
        <v>0</v>
      </c>
      <c r="D446" s="25">
        <f t="shared" si="911"/>
        <v>0</v>
      </c>
      <c r="E446" s="25">
        <f t="shared" si="911"/>
        <v>0</v>
      </c>
      <c r="F446" s="25">
        <f t="shared" si="911"/>
        <v>0</v>
      </c>
      <c r="G446" s="25">
        <f t="shared" si="911"/>
        <v>0</v>
      </c>
      <c r="H446" s="25">
        <f t="shared" si="911"/>
        <v>0</v>
      </c>
      <c r="I446" s="25">
        <f t="shared" si="911"/>
        <v>0</v>
      </c>
      <c r="J446" s="25">
        <f t="shared" ref="J446:M446" si="912">+J458/J456</f>
        <v>0</v>
      </c>
      <c r="K446" s="25">
        <f t="shared" si="912"/>
        <v>0</v>
      </c>
      <c r="L446" s="25">
        <f t="shared" si="912"/>
        <v>0</v>
      </c>
      <c r="M446" s="25">
        <f t="shared" si="912"/>
        <v>0</v>
      </c>
    </row>
    <row r="447" spans="1:13" ht="15" customHeight="1">
      <c r="A447" s="10" t="str">
        <f t="shared" si="908"/>
        <v>B3</v>
      </c>
      <c r="B447" s="25">
        <f t="shared" ref="B447:I447" si="913">+B459/B456</f>
        <v>0</v>
      </c>
      <c r="C447" s="25">
        <f t="shared" si="913"/>
        <v>0</v>
      </c>
      <c r="D447" s="25">
        <f t="shared" si="913"/>
        <v>0</v>
      </c>
      <c r="E447" s="25">
        <f t="shared" si="913"/>
        <v>0</v>
      </c>
      <c r="F447" s="25">
        <f t="shared" si="913"/>
        <v>0</v>
      </c>
      <c r="G447" s="25">
        <f t="shared" si="913"/>
        <v>0</v>
      </c>
      <c r="H447" s="25">
        <f t="shared" si="913"/>
        <v>0</v>
      </c>
      <c r="I447" s="25">
        <f t="shared" si="913"/>
        <v>0</v>
      </c>
      <c r="J447" s="25">
        <f t="shared" ref="J447:M447" si="914">+J459/J456</f>
        <v>0</v>
      </c>
      <c r="K447" s="25">
        <f t="shared" si="914"/>
        <v>0</v>
      </c>
      <c r="L447" s="25">
        <f t="shared" si="914"/>
        <v>0</v>
      </c>
      <c r="M447" s="25">
        <f t="shared" si="914"/>
        <v>0</v>
      </c>
    </row>
    <row r="448" spans="1:13" ht="15" customHeight="1">
      <c r="A448" s="10" t="str">
        <f t="shared" si="908"/>
        <v>B4</v>
      </c>
      <c r="B448" s="25">
        <f t="shared" ref="B448:I448" si="915">+B460/B456</f>
        <v>0</v>
      </c>
      <c r="C448" s="25">
        <f t="shared" si="915"/>
        <v>0</v>
      </c>
      <c r="D448" s="25">
        <f t="shared" si="915"/>
        <v>0</v>
      </c>
      <c r="E448" s="25">
        <f t="shared" si="915"/>
        <v>0</v>
      </c>
      <c r="F448" s="25">
        <f t="shared" si="915"/>
        <v>0</v>
      </c>
      <c r="G448" s="25">
        <f t="shared" si="915"/>
        <v>0</v>
      </c>
      <c r="H448" s="25">
        <f t="shared" si="915"/>
        <v>0</v>
      </c>
      <c r="I448" s="25">
        <f t="shared" si="915"/>
        <v>0</v>
      </c>
      <c r="J448" s="25">
        <f t="shared" ref="J448:M448" si="916">+J460/J456</f>
        <v>0</v>
      </c>
      <c r="K448" s="25">
        <f t="shared" si="916"/>
        <v>0</v>
      </c>
      <c r="L448" s="25">
        <f t="shared" si="916"/>
        <v>0</v>
      </c>
      <c r="M448" s="25">
        <f t="shared" si="916"/>
        <v>0</v>
      </c>
    </row>
    <row r="449" spans="1:13" ht="15" customHeight="1">
      <c r="A449" s="10" t="str">
        <f t="shared" si="908"/>
        <v>B5</v>
      </c>
      <c r="B449" s="25">
        <f t="shared" ref="B449:I449" si="917">+B461/B456</f>
        <v>0</v>
      </c>
      <c r="C449" s="25">
        <f t="shared" si="917"/>
        <v>0</v>
      </c>
      <c r="D449" s="25">
        <f t="shared" si="917"/>
        <v>0</v>
      </c>
      <c r="E449" s="25">
        <f t="shared" si="917"/>
        <v>0</v>
      </c>
      <c r="F449" s="25">
        <f t="shared" si="917"/>
        <v>0</v>
      </c>
      <c r="G449" s="25">
        <f t="shared" si="917"/>
        <v>0</v>
      </c>
      <c r="H449" s="25">
        <f t="shared" si="917"/>
        <v>0</v>
      </c>
      <c r="I449" s="25">
        <f t="shared" si="917"/>
        <v>0</v>
      </c>
      <c r="J449" s="25">
        <f t="shared" ref="J449:M449" si="918">+J461/J456</f>
        <v>0</v>
      </c>
      <c r="K449" s="25">
        <f t="shared" si="918"/>
        <v>0</v>
      </c>
      <c r="L449" s="25">
        <f t="shared" si="918"/>
        <v>0</v>
      </c>
      <c r="M449" s="25">
        <f t="shared" si="918"/>
        <v>0</v>
      </c>
    </row>
    <row r="450" spans="1:13" ht="15" customHeight="1">
      <c r="A450" s="10" t="str">
        <f t="shared" si="908"/>
        <v>B6</v>
      </c>
      <c r="B450" s="25">
        <f t="shared" ref="B450:I450" si="919">+B462/B456</f>
        <v>0</v>
      </c>
      <c r="C450" s="25">
        <f t="shared" si="919"/>
        <v>0</v>
      </c>
      <c r="D450" s="25">
        <f t="shared" si="919"/>
        <v>0</v>
      </c>
      <c r="E450" s="25">
        <f t="shared" si="919"/>
        <v>0</v>
      </c>
      <c r="F450" s="25">
        <f t="shared" si="919"/>
        <v>0</v>
      </c>
      <c r="G450" s="25">
        <f t="shared" si="919"/>
        <v>0</v>
      </c>
      <c r="H450" s="25">
        <f t="shared" si="919"/>
        <v>0</v>
      </c>
      <c r="I450" s="25">
        <f t="shared" si="919"/>
        <v>0</v>
      </c>
      <c r="J450" s="25">
        <f t="shared" ref="J450:M450" si="920">+J462/J456</f>
        <v>0</v>
      </c>
      <c r="K450" s="25">
        <f t="shared" si="920"/>
        <v>0</v>
      </c>
      <c r="L450" s="25">
        <f t="shared" si="920"/>
        <v>0</v>
      </c>
      <c r="M450" s="25">
        <f t="shared" si="920"/>
        <v>0</v>
      </c>
    </row>
    <row r="451" spans="1:13" ht="15" customHeight="1">
      <c r="A451" s="10" t="str">
        <f t="shared" si="908"/>
        <v>B7</v>
      </c>
      <c r="B451" s="25">
        <f t="shared" ref="B451:I451" si="921">+B463/B456</f>
        <v>0</v>
      </c>
      <c r="C451" s="25">
        <f t="shared" si="921"/>
        <v>0</v>
      </c>
      <c r="D451" s="25">
        <f t="shared" si="921"/>
        <v>0</v>
      </c>
      <c r="E451" s="25">
        <f t="shared" si="921"/>
        <v>0</v>
      </c>
      <c r="F451" s="25">
        <f t="shared" si="921"/>
        <v>0</v>
      </c>
      <c r="G451" s="25">
        <f t="shared" si="921"/>
        <v>0</v>
      </c>
      <c r="H451" s="25">
        <f t="shared" si="921"/>
        <v>0</v>
      </c>
      <c r="I451" s="25">
        <f t="shared" si="921"/>
        <v>0</v>
      </c>
      <c r="J451" s="25">
        <f t="shared" ref="J451:M451" si="922">+J463/J456</f>
        <v>0</v>
      </c>
      <c r="K451" s="25">
        <f t="shared" si="922"/>
        <v>0</v>
      </c>
      <c r="L451" s="25">
        <f t="shared" si="922"/>
        <v>0</v>
      </c>
      <c r="M451" s="25">
        <f t="shared" si="922"/>
        <v>0</v>
      </c>
    </row>
    <row r="452" spans="1:13" ht="15" customHeight="1">
      <c r="A452" s="10" t="str">
        <f t="shared" si="908"/>
        <v>B8</v>
      </c>
      <c r="B452" s="25">
        <f t="shared" ref="B452:I452" si="923">+B464/B456</f>
        <v>0</v>
      </c>
      <c r="C452" s="25">
        <f t="shared" si="923"/>
        <v>0</v>
      </c>
      <c r="D452" s="25">
        <f t="shared" si="923"/>
        <v>0</v>
      </c>
      <c r="E452" s="25">
        <f t="shared" si="923"/>
        <v>0</v>
      </c>
      <c r="F452" s="25">
        <f t="shared" si="923"/>
        <v>0</v>
      </c>
      <c r="G452" s="25">
        <f t="shared" si="923"/>
        <v>0</v>
      </c>
      <c r="H452" s="25">
        <f t="shared" si="923"/>
        <v>0</v>
      </c>
      <c r="I452" s="25">
        <f t="shared" si="923"/>
        <v>0</v>
      </c>
      <c r="J452" s="25">
        <f t="shared" ref="J452:M452" si="924">+J464/J456</f>
        <v>0</v>
      </c>
      <c r="K452" s="25">
        <f t="shared" si="924"/>
        <v>0</v>
      </c>
      <c r="L452" s="25">
        <f t="shared" si="924"/>
        <v>0</v>
      </c>
      <c r="M452" s="25">
        <f t="shared" si="924"/>
        <v>0</v>
      </c>
    </row>
    <row r="453" spans="1:13" ht="15" customHeight="1">
      <c r="A453" s="10" t="str">
        <f t="shared" si="908"/>
        <v>B9</v>
      </c>
      <c r="B453" s="25">
        <f t="shared" ref="B453:I453" si="925">+B465/B456</f>
        <v>0</v>
      </c>
      <c r="C453" s="25">
        <f t="shared" si="925"/>
        <v>0</v>
      </c>
      <c r="D453" s="25">
        <f t="shared" si="925"/>
        <v>0</v>
      </c>
      <c r="E453" s="25">
        <f t="shared" si="925"/>
        <v>0</v>
      </c>
      <c r="F453" s="25">
        <f t="shared" si="925"/>
        <v>0</v>
      </c>
      <c r="G453" s="25">
        <f t="shared" si="925"/>
        <v>0</v>
      </c>
      <c r="H453" s="25">
        <f t="shared" si="925"/>
        <v>0</v>
      </c>
      <c r="I453" s="25">
        <f t="shared" si="925"/>
        <v>0</v>
      </c>
      <c r="J453" s="25">
        <f t="shared" ref="J453:M453" si="926">+J465/J456</f>
        <v>0</v>
      </c>
      <c r="K453" s="25">
        <f t="shared" si="926"/>
        <v>0</v>
      </c>
      <c r="L453" s="25">
        <f t="shared" si="926"/>
        <v>0</v>
      </c>
      <c r="M453" s="25">
        <f t="shared" si="926"/>
        <v>0</v>
      </c>
    </row>
    <row r="454" spans="1:13" ht="15" customHeight="1">
      <c r="A454" s="10" t="str">
        <f t="shared" si="908"/>
        <v>B10</v>
      </c>
      <c r="B454" s="25">
        <f t="shared" ref="B454:I454" si="927">+B466/B456</f>
        <v>0</v>
      </c>
      <c r="C454" s="25">
        <f t="shared" si="927"/>
        <v>0</v>
      </c>
      <c r="D454" s="25">
        <f t="shared" si="927"/>
        <v>0</v>
      </c>
      <c r="E454" s="25">
        <f t="shared" si="927"/>
        <v>0</v>
      </c>
      <c r="F454" s="25">
        <f t="shared" si="927"/>
        <v>0</v>
      </c>
      <c r="G454" s="25">
        <f t="shared" si="927"/>
        <v>0</v>
      </c>
      <c r="H454" s="25">
        <f t="shared" si="927"/>
        <v>0</v>
      </c>
      <c r="I454" s="25">
        <f t="shared" si="927"/>
        <v>0</v>
      </c>
      <c r="J454" s="25">
        <f t="shared" ref="J454:M454" si="928">+J466/J456</f>
        <v>0</v>
      </c>
      <c r="K454" s="25">
        <f t="shared" si="928"/>
        <v>0</v>
      </c>
      <c r="L454" s="25">
        <f t="shared" si="928"/>
        <v>0</v>
      </c>
      <c r="M454" s="25">
        <f t="shared" si="928"/>
        <v>0</v>
      </c>
    </row>
    <row r="455" spans="1:13" ht="15" customHeight="1">
      <c r="A455" s="10"/>
      <c r="B455" s="31"/>
      <c r="C455" s="31"/>
      <c r="D455" s="31"/>
      <c r="E455" s="31"/>
      <c r="F455" s="31"/>
      <c r="G455" s="31"/>
      <c r="H455" s="31"/>
      <c r="I455" s="31"/>
      <c r="J455" s="31"/>
      <c r="K455" s="31"/>
      <c r="L455" s="31"/>
      <c r="M455" s="31"/>
    </row>
    <row r="456" spans="1:13" ht="15" customHeight="1">
      <c r="A456" s="10" t="s">
        <v>52</v>
      </c>
      <c r="B456" s="32">
        <f t="shared" ref="B456:I456" si="929">+SUM(B457:B466)</f>
        <v>562668.77470862947</v>
      </c>
      <c r="C456" s="32">
        <f t="shared" si="929"/>
        <v>612879.31366425834</v>
      </c>
      <c r="D456" s="32">
        <f t="shared" si="929"/>
        <v>472987.48562694876</v>
      </c>
      <c r="E456" s="32">
        <f t="shared" si="929"/>
        <v>426816.42895912519</v>
      </c>
      <c r="F456" s="32">
        <f t="shared" si="929"/>
        <v>356173.66467207344</v>
      </c>
      <c r="G456" s="32">
        <f t="shared" si="929"/>
        <v>347670.15954211657</v>
      </c>
      <c r="H456" s="32">
        <f t="shared" si="929"/>
        <v>326891.13250397693</v>
      </c>
      <c r="I456" s="32">
        <f t="shared" si="929"/>
        <v>332300.29283412866</v>
      </c>
      <c r="J456" s="32">
        <f t="shared" ref="J456:M456" si="930">+SUM(J457:J466)</f>
        <v>256279.72095331881</v>
      </c>
      <c r="K456" s="32">
        <f t="shared" si="930"/>
        <v>345225.20453883387</v>
      </c>
      <c r="L456" s="32">
        <f t="shared" si="930"/>
        <v>361499.78001619427</v>
      </c>
      <c r="M456" s="32">
        <f t="shared" si="930"/>
        <v>432716.40052441438</v>
      </c>
    </row>
    <row r="457" spans="1:13" ht="15" customHeight="1">
      <c r="A457" s="10" t="str">
        <f t="shared" ref="A457:A466" si="931">A445</f>
        <v>B1</v>
      </c>
      <c r="B457" s="15">
        <f t="shared" ref="B457:B466" si="932">B469*B481</f>
        <v>562668.77470862947</v>
      </c>
      <c r="C457" s="15">
        <f t="shared" ref="C457:D457" si="933">C469*C481</f>
        <v>612879.31366425834</v>
      </c>
      <c r="D457" s="15">
        <f t="shared" si="933"/>
        <v>472987.48562694876</v>
      </c>
      <c r="E457" s="15">
        <f t="shared" ref="E457:F457" si="934">E469*E481</f>
        <v>426816.42895912519</v>
      </c>
      <c r="F457" s="15">
        <f t="shared" si="934"/>
        <v>356173.66467207344</v>
      </c>
      <c r="G457" s="15">
        <f t="shared" ref="G457:H457" si="935">G469*G481</f>
        <v>347670.15954211657</v>
      </c>
      <c r="H457" s="15">
        <f t="shared" si="935"/>
        <v>326891.13250397693</v>
      </c>
      <c r="I457" s="15">
        <f t="shared" ref="I457:L457" si="936">I469*I481</f>
        <v>332300.29283412866</v>
      </c>
      <c r="J457" s="15">
        <f t="shared" si="936"/>
        <v>256279.72095331881</v>
      </c>
      <c r="K457" s="15">
        <f t="shared" si="936"/>
        <v>345225.20453883387</v>
      </c>
      <c r="L457" s="15">
        <f t="shared" si="936"/>
        <v>361499.78001619427</v>
      </c>
      <c r="M457" s="15">
        <f t="shared" ref="M457" si="937">M469*M481</f>
        <v>432716.40052441438</v>
      </c>
    </row>
    <row r="458" spans="1:13" ht="15" customHeight="1">
      <c r="A458" s="10" t="str">
        <f t="shared" si="931"/>
        <v>B2</v>
      </c>
      <c r="B458" s="15">
        <f t="shared" si="932"/>
        <v>0</v>
      </c>
      <c r="C458" s="15">
        <f t="shared" ref="C458:D458" si="938">C470*C482</f>
        <v>0</v>
      </c>
      <c r="D458" s="15">
        <f t="shared" si="938"/>
        <v>0</v>
      </c>
      <c r="E458" s="15">
        <f t="shared" ref="E458:F458" si="939">E470*E482</f>
        <v>0</v>
      </c>
      <c r="F458" s="15">
        <f t="shared" si="939"/>
        <v>0</v>
      </c>
      <c r="G458" s="15">
        <f t="shared" ref="G458:H458" si="940">G470*G482</f>
        <v>0</v>
      </c>
      <c r="H458" s="15">
        <f t="shared" si="940"/>
        <v>0</v>
      </c>
      <c r="I458" s="15">
        <f t="shared" ref="I458:L458" si="941">I470*I482</f>
        <v>0</v>
      </c>
      <c r="J458" s="15">
        <f t="shared" si="941"/>
        <v>0</v>
      </c>
      <c r="K458" s="15">
        <f t="shared" si="941"/>
        <v>0</v>
      </c>
      <c r="L458" s="15">
        <f t="shared" si="941"/>
        <v>0</v>
      </c>
      <c r="M458" s="15">
        <f t="shared" ref="M458" si="942">M470*M482</f>
        <v>0</v>
      </c>
    </row>
    <row r="459" spans="1:13" ht="15" customHeight="1">
      <c r="A459" s="10" t="str">
        <f t="shared" si="931"/>
        <v>B3</v>
      </c>
      <c r="B459" s="15">
        <f t="shared" si="932"/>
        <v>0</v>
      </c>
      <c r="C459" s="15">
        <f t="shared" ref="C459:D459" si="943">C471*C483</f>
        <v>0</v>
      </c>
      <c r="D459" s="15">
        <f t="shared" si="943"/>
        <v>0</v>
      </c>
      <c r="E459" s="15">
        <f t="shared" ref="E459:F459" si="944">E471*E483</f>
        <v>0</v>
      </c>
      <c r="F459" s="15">
        <f t="shared" si="944"/>
        <v>0</v>
      </c>
      <c r="G459" s="15">
        <f t="shared" ref="G459:H459" si="945">G471*G483</f>
        <v>0</v>
      </c>
      <c r="H459" s="15">
        <f t="shared" si="945"/>
        <v>0</v>
      </c>
      <c r="I459" s="15">
        <f t="shared" ref="I459:L459" si="946">I471*I483</f>
        <v>0</v>
      </c>
      <c r="J459" s="15">
        <f t="shared" si="946"/>
        <v>0</v>
      </c>
      <c r="K459" s="15">
        <f t="shared" si="946"/>
        <v>0</v>
      </c>
      <c r="L459" s="15">
        <f t="shared" si="946"/>
        <v>0</v>
      </c>
      <c r="M459" s="15">
        <f t="shared" ref="M459" si="947">M471*M483</f>
        <v>0</v>
      </c>
    </row>
    <row r="460" spans="1:13" ht="15" customHeight="1">
      <c r="A460" s="10" t="str">
        <f t="shared" si="931"/>
        <v>B4</v>
      </c>
      <c r="B460" s="15">
        <f t="shared" si="932"/>
        <v>0</v>
      </c>
      <c r="C460" s="15">
        <f t="shared" ref="C460:D460" si="948">C472*C484</f>
        <v>0</v>
      </c>
      <c r="D460" s="15">
        <f t="shared" si="948"/>
        <v>0</v>
      </c>
      <c r="E460" s="15">
        <f t="shared" ref="E460:F460" si="949">E472*E484</f>
        <v>0</v>
      </c>
      <c r="F460" s="15">
        <f t="shared" si="949"/>
        <v>0</v>
      </c>
      <c r="G460" s="15">
        <f t="shared" ref="G460:H460" si="950">G472*G484</f>
        <v>0</v>
      </c>
      <c r="H460" s="15">
        <f t="shared" si="950"/>
        <v>0</v>
      </c>
      <c r="I460" s="15">
        <f t="shared" ref="I460:L460" si="951">I472*I484</f>
        <v>0</v>
      </c>
      <c r="J460" s="15">
        <f t="shared" si="951"/>
        <v>0</v>
      </c>
      <c r="K460" s="15">
        <f t="shared" si="951"/>
        <v>0</v>
      </c>
      <c r="L460" s="15">
        <f t="shared" si="951"/>
        <v>0</v>
      </c>
      <c r="M460" s="15">
        <f t="shared" ref="M460" si="952">M472*M484</f>
        <v>0</v>
      </c>
    </row>
    <row r="461" spans="1:13" ht="15" customHeight="1">
      <c r="A461" s="10" t="str">
        <f t="shared" si="931"/>
        <v>B5</v>
      </c>
      <c r="B461" s="15">
        <f t="shared" si="932"/>
        <v>0</v>
      </c>
      <c r="C461" s="15">
        <f t="shared" ref="C461:D461" si="953">C473*C485</f>
        <v>0</v>
      </c>
      <c r="D461" s="15">
        <f t="shared" si="953"/>
        <v>0</v>
      </c>
      <c r="E461" s="15">
        <f t="shared" ref="E461:F461" si="954">E473*E485</f>
        <v>0</v>
      </c>
      <c r="F461" s="15">
        <f t="shared" si="954"/>
        <v>0</v>
      </c>
      <c r="G461" s="15">
        <f t="shared" ref="G461:H461" si="955">G473*G485</f>
        <v>0</v>
      </c>
      <c r="H461" s="15">
        <f t="shared" si="955"/>
        <v>0</v>
      </c>
      <c r="I461" s="15">
        <f t="shared" ref="I461:L461" si="956">I473*I485</f>
        <v>0</v>
      </c>
      <c r="J461" s="15">
        <f t="shared" si="956"/>
        <v>0</v>
      </c>
      <c r="K461" s="15">
        <f t="shared" si="956"/>
        <v>0</v>
      </c>
      <c r="L461" s="15">
        <f t="shared" si="956"/>
        <v>0</v>
      </c>
      <c r="M461" s="15">
        <f t="shared" ref="M461" si="957">M473*M485</f>
        <v>0</v>
      </c>
    </row>
    <row r="462" spans="1:13" ht="15" customHeight="1">
      <c r="A462" s="10" t="str">
        <f t="shared" si="931"/>
        <v>B6</v>
      </c>
      <c r="B462" s="15">
        <f t="shared" si="932"/>
        <v>0</v>
      </c>
      <c r="C462" s="15">
        <f t="shared" ref="C462:D462" si="958">C474*C486</f>
        <v>0</v>
      </c>
      <c r="D462" s="15">
        <f t="shared" si="958"/>
        <v>0</v>
      </c>
      <c r="E462" s="15">
        <f t="shared" ref="E462:F462" si="959">E474*E486</f>
        <v>0</v>
      </c>
      <c r="F462" s="15">
        <f t="shared" si="959"/>
        <v>0</v>
      </c>
      <c r="G462" s="15">
        <f t="shared" ref="G462:H462" si="960">G474*G486</f>
        <v>0</v>
      </c>
      <c r="H462" s="15">
        <f t="shared" si="960"/>
        <v>0</v>
      </c>
      <c r="I462" s="15">
        <f t="shared" ref="I462:L462" si="961">I474*I486</f>
        <v>0</v>
      </c>
      <c r="J462" s="15">
        <f t="shared" si="961"/>
        <v>0</v>
      </c>
      <c r="K462" s="15">
        <f t="shared" si="961"/>
        <v>0</v>
      </c>
      <c r="L462" s="15">
        <f t="shared" si="961"/>
        <v>0</v>
      </c>
      <c r="M462" s="15">
        <f t="shared" ref="M462" si="962">M474*M486</f>
        <v>0</v>
      </c>
    </row>
    <row r="463" spans="1:13" ht="15" customHeight="1">
      <c r="A463" s="10" t="str">
        <f t="shared" si="931"/>
        <v>B7</v>
      </c>
      <c r="B463" s="15">
        <f t="shared" si="932"/>
        <v>0</v>
      </c>
      <c r="C463" s="15">
        <f t="shared" ref="C463:D463" si="963">C475*C487</f>
        <v>0</v>
      </c>
      <c r="D463" s="15">
        <f t="shared" si="963"/>
        <v>0</v>
      </c>
      <c r="E463" s="15">
        <f t="shared" ref="E463:F463" si="964">E475*E487</f>
        <v>0</v>
      </c>
      <c r="F463" s="15">
        <f t="shared" si="964"/>
        <v>0</v>
      </c>
      <c r="G463" s="15">
        <f t="shared" ref="G463:H463" si="965">G475*G487</f>
        <v>0</v>
      </c>
      <c r="H463" s="15">
        <f t="shared" si="965"/>
        <v>0</v>
      </c>
      <c r="I463" s="15">
        <f t="shared" ref="I463:L463" si="966">I475*I487</f>
        <v>0</v>
      </c>
      <c r="J463" s="15">
        <f t="shared" si="966"/>
        <v>0</v>
      </c>
      <c r="K463" s="15">
        <f t="shared" si="966"/>
        <v>0</v>
      </c>
      <c r="L463" s="15">
        <f t="shared" si="966"/>
        <v>0</v>
      </c>
      <c r="M463" s="15">
        <f t="shared" ref="M463" si="967">M475*M487</f>
        <v>0</v>
      </c>
    </row>
    <row r="464" spans="1:13" ht="15" customHeight="1">
      <c r="A464" s="10" t="str">
        <f t="shared" si="931"/>
        <v>B8</v>
      </c>
      <c r="B464" s="15">
        <f t="shared" si="932"/>
        <v>0</v>
      </c>
      <c r="C464" s="15">
        <f t="shared" ref="C464:D464" si="968">C476*C488</f>
        <v>0</v>
      </c>
      <c r="D464" s="15">
        <f t="shared" si="968"/>
        <v>0</v>
      </c>
      <c r="E464" s="15">
        <f t="shared" ref="E464:F464" si="969">E476*E488</f>
        <v>0</v>
      </c>
      <c r="F464" s="15">
        <f t="shared" si="969"/>
        <v>0</v>
      </c>
      <c r="G464" s="15">
        <f t="shared" ref="G464:H464" si="970">G476*G488</f>
        <v>0</v>
      </c>
      <c r="H464" s="15">
        <f t="shared" si="970"/>
        <v>0</v>
      </c>
      <c r="I464" s="15">
        <f t="shared" ref="I464:L464" si="971">I476*I488</f>
        <v>0</v>
      </c>
      <c r="J464" s="15">
        <f t="shared" si="971"/>
        <v>0</v>
      </c>
      <c r="K464" s="15">
        <f t="shared" si="971"/>
        <v>0</v>
      </c>
      <c r="L464" s="15">
        <f t="shared" si="971"/>
        <v>0</v>
      </c>
      <c r="M464" s="15">
        <f t="shared" ref="M464" si="972">M476*M488</f>
        <v>0</v>
      </c>
    </row>
    <row r="465" spans="1:13" ht="15" customHeight="1">
      <c r="A465" s="10" t="str">
        <f t="shared" si="931"/>
        <v>B9</v>
      </c>
      <c r="B465" s="15">
        <f t="shared" si="932"/>
        <v>0</v>
      </c>
      <c r="C465" s="15">
        <f t="shared" ref="C465:D465" si="973">C477*C489</f>
        <v>0</v>
      </c>
      <c r="D465" s="15">
        <f t="shared" si="973"/>
        <v>0</v>
      </c>
      <c r="E465" s="15">
        <f t="shared" ref="E465:F465" si="974">E477*E489</f>
        <v>0</v>
      </c>
      <c r="F465" s="15">
        <f t="shared" si="974"/>
        <v>0</v>
      </c>
      <c r="G465" s="15">
        <f t="shared" ref="G465:H465" si="975">G477*G489</f>
        <v>0</v>
      </c>
      <c r="H465" s="15">
        <f t="shared" si="975"/>
        <v>0</v>
      </c>
      <c r="I465" s="15">
        <f t="shared" ref="I465:L465" si="976">I477*I489</f>
        <v>0</v>
      </c>
      <c r="J465" s="15">
        <f t="shared" si="976"/>
        <v>0</v>
      </c>
      <c r="K465" s="15">
        <f t="shared" si="976"/>
        <v>0</v>
      </c>
      <c r="L465" s="15">
        <f t="shared" si="976"/>
        <v>0</v>
      </c>
      <c r="M465" s="15">
        <f t="shared" ref="M465" si="977">M477*M489</f>
        <v>0</v>
      </c>
    </row>
    <row r="466" spans="1:13" ht="15" customHeight="1">
      <c r="A466" s="10" t="str">
        <f t="shared" si="931"/>
        <v>B10</v>
      </c>
      <c r="B466" s="15">
        <f t="shared" si="932"/>
        <v>0</v>
      </c>
      <c r="C466" s="15">
        <f t="shared" ref="C466:D466" si="978">C478*C490</f>
        <v>0</v>
      </c>
      <c r="D466" s="15">
        <f t="shared" si="978"/>
        <v>0</v>
      </c>
      <c r="E466" s="15">
        <f t="shared" ref="E466:F466" si="979">E478*E490</f>
        <v>0</v>
      </c>
      <c r="F466" s="15">
        <f t="shared" si="979"/>
        <v>0</v>
      </c>
      <c r="G466" s="15">
        <f t="shared" ref="G466:H466" si="980">G478*G490</f>
        <v>0</v>
      </c>
      <c r="H466" s="15">
        <f t="shared" si="980"/>
        <v>0</v>
      </c>
      <c r="I466" s="15">
        <f t="shared" ref="I466:L466" si="981">I478*I490</f>
        <v>0</v>
      </c>
      <c r="J466" s="15">
        <f t="shared" si="981"/>
        <v>0</v>
      </c>
      <c r="K466" s="15">
        <f t="shared" si="981"/>
        <v>0</v>
      </c>
      <c r="L466" s="15">
        <f t="shared" si="981"/>
        <v>0</v>
      </c>
      <c r="M466" s="15">
        <f t="shared" ref="M466" si="982">M478*M490</f>
        <v>0</v>
      </c>
    </row>
    <row r="467" spans="1:13" ht="15" customHeight="1">
      <c r="A467" s="31"/>
      <c r="B467" s="31"/>
      <c r="C467" s="31"/>
      <c r="D467" s="31"/>
      <c r="E467" s="31"/>
      <c r="F467" s="31"/>
      <c r="G467" s="31"/>
      <c r="H467" s="31"/>
      <c r="I467" s="31"/>
      <c r="J467" s="31"/>
      <c r="K467" s="31"/>
      <c r="L467" s="31"/>
      <c r="M467" s="31"/>
    </row>
    <row r="468" spans="1:13" ht="15" customHeight="1">
      <c r="A468" s="10" t="s">
        <v>51</v>
      </c>
      <c r="B468" s="31"/>
      <c r="C468" s="31"/>
      <c r="D468" s="31"/>
      <c r="E468" s="31"/>
      <c r="F468" s="31"/>
      <c r="G468" s="31"/>
      <c r="H468" s="31"/>
      <c r="I468" s="31"/>
      <c r="J468" s="31"/>
      <c r="K468" s="31"/>
      <c r="L468" s="31"/>
      <c r="M468" s="31"/>
    </row>
    <row r="469" spans="1:13" ht="15" customHeight="1">
      <c r="A469" s="10" t="str">
        <f t="shared" ref="A469:A478" si="983">A457</f>
        <v>B1</v>
      </c>
      <c r="B469" s="136">
        <f t="shared" ref="B469:B478" si="984">B844</f>
        <v>2.6520464108360962</v>
      </c>
      <c r="C469" s="136">
        <f t="shared" ref="C469:D469" si="985">C844</f>
        <v>3.0674640323536453</v>
      </c>
      <c r="D469" s="136">
        <f t="shared" si="985"/>
        <v>2.58752966780792</v>
      </c>
      <c r="E469" s="136">
        <f t="shared" ref="E469:F469" si="986">E844</f>
        <v>2.3959068447948018</v>
      </c>
      <c r="F469" s="136">
        <f t="shared" si="986"/>
        <v>2.023311640708231</v>
      </c>
      <c r="G469" s="136">
        <f t="shared" ref="G469:H469" si="987">G844</f>
        <v>1.9981962362759009</v>
      </c>
      <c r="H469" s="136">
        <f t="shared" si="987"/>
        <v>1.9126507079982267</v>
      </c>
      <c r="I469" s="136">
        <f t="shared" ref="I469:L469" si="988">I844</f>
        <v>1.9615846900553036</v>
      </c>
      <c r="J469" s="136">
        <f t="shared" si="988"/>
        <v>1.5155154280993874</v>
      </c>
      <c r="K469" s="136">
        <f t="shared" si="988"/>
        <v>2.0962504905598736</v>
      </c>
      <c r="L469" s="136">
        <f t="shared" si="988"/>
        <v>2.3097846756472147</v>
      </c>
      <c r="M469" s="136">
        <f t="shared" ref="M469" si="989">M844</f>
        <v>2.9078058256351262</v>
      </c>
    </row>
    <row r="470" spans="1:13" ht="15" customHeight="1">
      <c r="A470" s="10" t="str">
        <f t="shared" si="983"/>
        <v>B2</v>
      </c>
      <c r="B470" s="136">
        <f t="shared" si="984"/>
        <v>0</v>
      </c>
      <c r="C470" s="136">
        <f t="shared" ref="C470:D470" si="990">C845</f>
        <v>0</v>
      </c>
      <c r="D470" s="136">
        <f t="shared" si="990"/>
        <v>0</v>
      </c>
      <c r="E470" s="136">
        <f t="shared" ref="E470:F470" si="991">E845</f>
        <v>0</v>
      </c>
      <c r="F470" s="136">
        <f t="shared" si="991"/>
        <v>0</v>
      </c>
      <c r="G470" s="136">
        <f t="shared" ref="G470:H470" si="992">G845</f>
        <v>0</v>
      </c>
      <c r="H470" s="136">
        <f t="shared" si="992"/>
        <v>0</v>
      </c>
      <c r="I470" s="136">
        <f t="shared" ref="I470:L470" si="993">I845</f>
        <v>0</v>
      </c>
      <c r="J470" s="136">
        <f t="shared" si="993"/>
        <v>0</v>
      </c>
      <c r="K470" s="136">
        <f t="shared" si="993"/>
        <v>0</v>
      </c>
      <c r="L470" s="136">
        <f t="shared" si="993"/>
        <v>0</v>
      </c>
      <c r="M470" s="136">
        <f t="shared" ref="M470" si="994">M845</f>
        <v>0</v>
      </c>
    </row>
    <row r="471" spans="1:13" ht="15" customHeight="1">
      <c r="A471" s="10" t="str">
        <f t="shared" si="983"/>
        <v>B3</v>
      </c>
      <c r="B471" s="136">
        <f t="shared" si="984"/>
        <v>0</v>
      </c>
      <c r="C471" s="136">
        <f t="shared" ref="C471:D471" si="995">C846</f>
        <v>0</v>
      </c>
      <c r="D471" s="136">
        <f t="shared" si="995"/>
        <v>0</v>
      </c>
      <c r="E471" s="136">
        <f t="shared" ref="E471:F471" si="996">E846</f>
        <v>0</v>
      </c>
      <c r="F471" s="136">
        <f t="shared" si="996"/>
        <v>0</v>
      </c>
      <c r="G471" s="136">
        <f t="shared" ref="G471:H471" si="997">G846</f>
        <v>0</v>
      </c>
      <c r="H471" s="136">
        <f t="shared" si="997"/>
        <v>0</v>
      </c>
      <c r="I471" s="136">
        <f t="shared" ref="I471:L471" si="998">I846</f>
        <v>0</v>
      </c>
      <c r="J471" s="136">
        <f t="shared" si="998"/>
        <v>0</v>
      </c>
      <c r="K471" s="136">
        <f t="shared" si="998"/>
        <v>0</v>
      </c>
      <c r="L471" s="136">
        <f t="shared" si="998"/>
        <v>0</v>
      </c>
      <c r="M471" s="136">
        <f t="shared" ref="M471" si="999">M846</f>
        <v>0</v>
      </c>
    </row>
    <row r="472" spans="1:13" ht="15" customHeight="1">
      <c r="A472" s="10" t="str">
        <f t="shared" si="983"/>
        <v>B4</v>
      </c>
      <c r="B472" s="136">
        <f t="shared" si="984"/>
        <v>0</v>
      </c>
      <c r="C472" s="136">
        <f t="shared" ref="C472:D472" si="1000">C847</f>
        <v>0</v>
      </c>
      <c r="D472" s="136">
        <f t="shared" si="1000"/>
        <v>0</v>
      </c>
      <c r="E472" s="136">
        <f t="shared" ref="E472:F472" si="1001">E847</f>
        <v>0</v>
      </c>
      <c r="F472" s="136">
        <f t="shared" si="1001"/>
        <v>0</v>
      </c>
      <c r="G472" s="136">
        <f t="shared" ref="G472:H472" si="1002">G847</f>
        <v>0</v>
      </c>
      <c r="H472" s="136">
        <f t="shared" si="1002"/>
        <v>0</v>
      </c>
      <c r="I472" s="136">
        <f t="shared" ref="I472:L472" si="1003">I847</f>
        <v>0</v>
      </c>
      <c r="J472" s="136">
        <f t="shared" si="1003"/>
        <v>0</v>
      </c>
      <c r="K472" s="136">
        <f t="shared" si="1003"/>
        <v>0</v>
      </c>
      <c r="L472" s="136">
        <f t="shared" si="1003"/>
        <v>0</v>
      </c>
      <c r="M472" s="136">
        <f t="shared" ref="M472" si="1004">M847</f>
        <v>0</v>
      </c>
    </row>
    <row r="473" spans="1:13" ht="15" customHeight="1">
      <c r="A473" s="10" t="str">
        <f t="shared" si="983"/>
        <v>B5</v>
      </c>
      <c r="B473" s="136">
        <f t="shared" si="984"/>
        <v>0</v>
      </c>
      <c r="C473" s="136">
        <f t="shared" ref="C473:D473" si="1005">C848</f>
        <v>0</v>
      </c>
      <c r="D473" s="136">
        <f t="shared" si="1005"/>
        <v>0</v>
      </c>
      <c r="E473" s="136">
        <f t="shared" ref="E473:F473" si="1006">E848</f>
        <v>0</v>
      </c>
      <c r="F473" s="136">
        <f t="shared" si="1006"/>
        <v>0</v>
      </c>
      <c r="G473" s="136">
        <f t="shared" ref="G473:H473" si="1007">G848</f>
        <v>0</v>
      </c>
      <c r="H473" s="136">
        <f t="shared" si="1007"/>
        <v>0</v>
      </c>
      <c r="I473" s="136">
        <f t="shared" ref="I473:L473" si="1008">I848</f>
        <v>0</v>
      </c>
      <c r="J473" s="136">
        <f t="shared" si="1008"/>
        <v>0</v>
      </c>
      <c r="K473" s="136">
        <f t="shared" si="1008"/>
        <v>0</v>
      </c>
      <c r="L473" s="136">
        <f t="shared" si="1008"/>
        <v>0</v>
      </c>
      <c r="M473" s="136">
        <f t="shared" ref="M473" si="1009">M848</f>
        <v>0</v>
      </c>
    </row>
    <row r="474" spans="1:13" ht="15" customHeight="1">
      <c r="A474" s="10" t="str">
        <f t="shared" si="983"/>
        <v>B6</v>
      </c>
      <c r="B474" s="136">
        <f t="shared" si="984"/>
        <v>0</v>
      </c>
      <c r="C474" s="136">
        <f t="shared" ref="C474:D474" si="1010">C849</f>
        <v>0</v>
      </c>
      <c r="D474" s="136">
        <f t="shared" si="1010"/>
        <v>0</v>
      </c>
      <c r="E474" s="136">
        <f t="shared" ref="E474:F474" si="1011">E849</f>
        <v>0</v>
      </c>
      <c r="F474" s="136">
        <f t="shared" si="1011"/>
        <v>0</v>
      </c>
      <c r="G474" s="136">
        <f t="shared" ref="G474:H474" si="1012">G849</f>
        <v>0</v>
      </c>
      <c r="H474" s="136">
        <f t="shared" si="1012"/>
        <v>0</v>
      </c>
      <c r="I474" s="136">
        <f t="shared" ref="I474:L474" si="1013">I849</f>
        <v>0</v>
      </c>
      <c r="J474" s="136">
        <f t="shared" si="1013"/>
        <v>0</v>
      </c>
      <c r="K474" s="136">
        <f t="shared" si="1013"/>
        <v>0</v>
      </c>
      <c r="L474" s="136">
        <f t="shared" si="1013"/>
        <v>0</v>
      </c>
      <c r="M474" s="136">
        <f t="shared" ref="M474" si="1014">M849</f>
        <v>0</v>
      </c>
    </row>
    <row r="475" spans="1:13" ht="15" customHeight="1">
      <c r="A475" s="10" t="str">
        <f t="shared" si="983"/>
        <v>B7</v>
      </c>
      <c r="B475" s="136">
        <f t="shared" si="984"/>
        <v>0</v>
      </c>
      <c r="C475" s="136">
        <f t="shared" ref="C475:D475" si="1015">C850</f>
        <v>0</v>
      </c>
      <c r="D475" s="136">
        <f t="shared" si="1015"/>
        <v>0</v>
      </c>
      <c r="E475" s="136">
        <f t="shared" ref="E475:F475" si="1016">E850</f>
        <v>0</v>
      </c>
      <c r="F475" s="136">
        <f t="shared" si="1016"/>
        <v>0</v>
      </c>
      <c r="G475" s="136">
        <f t="shared" ref="G475:H475" si="1017">G850</f>
        <v>0</v>
      </c>
      <c r="H475" s="136">
        <f t="shared" si="1017"/>
        <v>0</v>
      </c>
      <c r="I475" s="136">
        <f t="shared" ref="I475:L475" si="1018">I850</f>
        <v>0</v>
      </c>
      <c r="J475" s="136">
        <f t="shared" si="1018"/>
        <v>0</v>
      </c>
      <c r="K475" s="136">
        <f t="shared" si="1018"/>
        <v>0</v>
      </c>
      <c r="L475" s="136">
        <f t="shared" si="1018"/>
        <v>0</v>
      </c>
      <c r="M475" s="136">
        <f t="shared" ref="M475" si="1019">M850</f>
        <v>0</v>
      </c>
    </row>
    <row r="476" spans="1:13" ht="15" customHeight="1">
      <c r="A476" s="10" t="str">
        <f t="shared" si="983"/>
        <v>B8</v>
      </c>
      <c r="B476" s="136">
        <f t="shared" si="984"/>
        <v>0</v>
      </c>
      <c r="C476" s="136">
        <f t="shared" ref="C476:D476" si="1020">C851</f>
        <v>0</v>
      </c>
      <c r="D476" s="136">
        <f t="shared" si="1020"/>
        <v>0</v>
      </c>
      <c r="E476" s="136">
        <f t="shared" ref="E476:F476" si="1021">E851</f>
        <v>0</v>
      </c>
      <c r="F476" s="136">
        <f t="shared" si="1021"/>
        <v>0</v>
      </c>
      <c r="G476" s="136">
        <f t="shared" ref="G476:H476" si="1022">G851</f>
        <v>0</v>
      </c>
      <c r="H476" s="136">
        <f t="shared" si="1022"/>
        <v>0</v>
      </c>
      <c r="I476" s="136">
        <f t="shared" ref="I476:L476" si="1023">I851</f>
        <v>0</v>
      </c>
      <c r="J476" s="136">
        <f t="shared" si="1023"/>
        <v>0</v>
      </c>
      <c r="K476" s="136">
        <f t="shared" si="1023"/>
        <v>0</v>
      </c>
      <c r="L476" s="136">
        <f t="shared" si="1023"/>
        <v>0</v>
      </c>
      <c r="M476" s="136">
        <f t="shared" ref="M476" si="1024">M851</f>
        <v>0</v>
      </c>
    </row>
    <row r="477" spans="1:13" ht="15" customHeight="1">
      <c r="A477" s="10" t="str">
        <f t="shared" si="983"/>
        <v>B9</v>
      </c>
      <c r="B477" s="136">
        <f t="shared" si="984"/>
        <v>0</v>
      </c>
      <c r="C477" s="136">
        <f t="shared" ref="C477:D477" si="1025">C852</f>
        <v>0</v>
      </c>
      <c r="D477" s="136">
        <f t="shared" si="1025"/>
        <v>0</v>
      </c>
      <c r="E477" s="136">
        <f t="shared" ref="E477:F477" si="1026">E852</f>
        <v>0</v>
      </c>
      <c r="F477" s="136">
        <f t="shared" si="1026"/>
        <v>0</v>
      </c>
      <c r="G477" s="136">
        <f t="shared" ref="G477:H477" si="1027">G852</f>
        <v>0</v>
      </c>
      <c r="H477" s="136">
        <f t="shared" si="1027"/>
        <v>0</v>
      </c>
      <c r="I477" s="136">
        <f t="shared" ref="I477:L477" si="1028">I852</f>
        <v>0</v>
      </c>
      <c r="J477" s="136">
        <f t="shared" si="1028"/>
        <v>0</v>
      </c>
      <c r="K477" s="136">
        <f t="shared" si="1028"/>
        <v>0</v>
      </c>
      <c r="L477" s="136">
        <f t="shared" si="1028"/>
        <v>0</v>
      </c>
      <c r="M477" s="136">
        <f t="shared" ref="M477" si="1029">M852</f>
        <v>0</v>
      </c>
    </row>
    <row r="478" spans="1:13" ht="15" customHeight="1">
      <c r="A478" s="10" t="str">
        <f t="shared" si="983"/>
        <v>B10</v>
      </c>
      <c r="B478" s="136">
        <f t="shared" si="984"/>
        <v>0</v>
      </c>
      <c r="C478" s="136">
        <f t="shared" ref="C478:D478" si="1030">C853</f>
        <v>0</v>
      </c>
      <c r="D478" s="136">
        <f t="shared" si="1030"/>
        <v>0</v>
      </c>
      <c r="E478" s="136">
        <f t="shared" ref="E478:F478" si="1031">E853</f>
        <v>0</v>
      </c>
      <c r="F478" s="136">
        <f t="shared" si="1031"/>
        <v>0</v>
      </c>
      <c r="G478" s="136">
        <f t="shared" ref="G478:H478" si="1032">G853</f>
        <v>0</v>
      </c>
      <c r="H478" s="136">
        <f t="shared" si="1032"/>
        <v>0</v>
      </c>
      <c r="I478" s="136">
        <f t="shared" ref="I478:L478" si="1033">I853</f>
        <v>0</v>
      </c>
      <c r="J478" s="136">
        <f t="shared" si="1033"/>
        <v>0</v>
      </c>
      <c r="K478" s="136">
        <f t="shared" si="1033"/>
        <v>0</v>
      </c>
      <c r="L478" s="136">
        <f t="shared" si="1033"/>
        <v>0</v>
      </c>
      <c r="M478" s="136">
        <f t="shared" ref="M478" si="1034">M853</f>
        <v>0</v>
      </c>
    </row>
    <row r="479" spans="1:13" ht="15" customHeight="1">
      <c r="A479" s="31"/>
      <c r="B479" s="31"/>
      <c r="C479" s="31"/>
      <c r="D479" s="31"/>
      <c r="E479" s="31"/>
      <c r="F479" s="31"/>
      <c r="G479" s="31"/>
      <c r="H479" s="31"/>
      <c r="I479" s="31"/>
      <c r="J479" s="31"/>
      <c r="K479" s="31"/>
      <c r="L479" s="31"/>
      <c r="M479" s="31"/>
    </row>
    <row r="480" spans="1:13" ht="15" customHeight="1">
      <c r="A480" s="10" t="s">
        <v>50</v>
      </c>
      <c r="B480" s="32">
        <f t="shared" ref="B480:I480" si="1035">+SUM(B481:B490)</f>
        <v>212164</v>
      </c>
      <c r="C480" s="32">
        <f t="shared" si="1035"/>
        <v>199800</v>
      </c>
      <c r="D480" s="32">
        <f t="shared" si="1035"/>
        <v>182795</v>
      </c>
      <c r="E480" s="32">
        <f t="shared" si="1035"/>
        <v>178144</v>
      </c>
      <c r="F480" s="32">
        <f t="shared" si="1035"/>
        <v>176035</v>
      </c>
      <c r="G480" s="32">
        <f t="shared" si="1035"/>
        <v>173992</v>
      </c>
      <c r="H480" s="32">
        <f t="shared" si="1035"/>
        <v>170910</v>
      </c>
      <c r="I480" s="32">
        <f t="shared" si="1035"/>
        <v>169404</v>
      </c>
      <c r="J480" s="32">
        <f t="shared" ref="J480:M480" si="1036">+SUM(J481:J490)</f>
        <v>169104</v>
      </c>
      <c r="K480" s="32">
        <f t="shared" si="1036"/>
        <v>164687</v>
      </c>
      <c r="L480" s="32">
        <f t="shared" si="1036"/>
        <v>156508</v>
      </c>
      <c r="M480" s="32">
        <f t="shared" si="1036"/>
        <v>148812</v>
      </c>
    </row>
    <row r="481" spans="1:13" ht="15" customHeight="1">
      <c r="A481" s="3" t="str">
        <f t="shared" ref="A481:A490" si="1037">A469</f>
        <v>B1</v>
      </c>
      <c r="B481" s="15">
        <f t="shared" ref="B481:B490" si="1038">+B856</f>
        <v>212164</v>
      </c>
      <c r="C481" s="15">
        <f t="shared" ref="C481:D481" si="1039">+C856</f>
        <v>199800</v>
      </c>
      <c r="D481" s="15">
        <f t="shared" si="1039"/>
        <v>182795</v>
      </c>
      <c r="E481" s="15">
        <f t="shared" ref="E481:F481" si="1040">+E856</f>
        <v>178144</v>
      </c>
      <c r="F481" s="15">
        <f t="shared" si="1040"/>
        <v>176035</v>
      </c>
      <c r="G481" s="15">
        <f t="shared" ref="G481:H481" si="1041">+G856</f>
        <v>173992</v>
      </c>
      <c r="H481" s="15">
        <f t="shared" si="1041"/>
        <v>170910</v>
      </c>
      <c r="I481" s="15">
        <f t="shared" ref="I481:L481" si="1042">+I856</f>
        <v>169404</v>
      </c>
      <c r="J481" s="15">
        <f t="shared" si="1042"/>
        <v>169104</v>
      </c>
      <c r="K481" s="15">
        <f t="shared" si="1042"/>
        <v>164687</v>
      </c>
      <c r="L481" s="15">
        <f t="shared" si="1042"/>
        <v>156508</v>
      </c>
      <c r="M481" s="15">
        <f t="shared" ref="M481" si="1043">+M856</f>
        <v>148812</v>
      </c>
    </row>
    <row r="482" spans="1:13" ht="15" customHeight="1">
      <c r="A482" s="3" t="str">
        <f t="shared" si="1037"/>
        <v>B2</v>
      </c>
      <c r="B482" s="15">
        <f t="shared" si="1038"/>
        <v>0</v>
      </c>
      <c r="C482" s="15">
        <f t="shared" ref="C482:D482" si="1044">+C857</f>
        <v>0</v>
      </c>
      <c r="D482" s="15">
        <f t="shared" si="1044"/>
        <v>0</v>
      </c>
      <c r="E482" s="15">
        <f t="shared" ref="E482:F482" si="1045">+E857</f>
        <v>0</v>
      </c>
      <c r="F482" s="15">
        <f t="shared" si="1045"/>
        <v>0</v>
      </c>
      <c r="G482" s="15">
        <f t="shared" ref="G482:H482" si="1046">+G857</f>
        <v>0</v>
      </c>
      <c r="H482" s="15">
        <f t="shared" si="1046"/>
        <v>0</v>
      </c>
      <c r="I482" s="15">
        <f t="shared" ref="I482:L482" si="1047">+I857</f>
        <v>0</v>
      </c>
      <c r="J482" s="15">
        <f t="shared" si="1047"/>
        <v>0</v>
      </c>
      <c r="K482" s="15">
        <f t="shared" si="1047"/>
        <v>0</v>
      </c>
      <c r="L482" s="15">
        <f t="shared" si="1047"/>
        <v>0</v>
      </c>
      <c r="M482" s="15">
        <f t="shared" ref="M482" si="1048">+M857</f>
        <v>0</v>
      </c>
    </row>
    <row r="483" spans="1:13" ht="15" customHeight="1">
      <c r="A483" s="3" t="str">
        <f t="shared" si="1037"/>
        <v>B3</v>
      </c>
      <c r="B483" s="15">
        <f t="shared" si="1038"/>
        <v>0</v>
      </c>
      <c r="C483" s="15">
        <f t="shared" ref="C483:D483" si="1049">+C858</f>
        <v>0</v>
      </c>
      <c r="D483" s="15">
        <f t="shared" si="1049"/>
        <v>0</v>
      </c>
      <c r="E483" s="15">
        <f t="shared" ref="E483:F483" si="1050">+E858</f>
        <v>0</v>
      </c>
      <c r="F483" s="15">
        <f t="shared" si="1050"/>
        <v>0</v>
      </c>
      <c r="G483" s="15">
        <f t="shared" ref="G483:H483" si="1051">+G858</f>
        <v>0</v>
      </c>
      <c r="H483" s="15">
        <f t="shared" si="1051"/>
        <v>0</v>
      </c>
      <c r="I483" s="15">
        <f t="shared" ref="I483:L483" si="1052">+I858</f>
        <v>0</v>
      </c>
      <c r="J483" s="15">
        <f t="shared" si="1052"/>
        <v>0</v>
      </c>
      <c r="K483" s="15">
        <f t="shared" si="1052"/>
        <v>0</v>
      </c>
      <c r="L483" s="15">
        <f t="shared" si="1052"/>
        <v>0</v>
      </c>
      <c r="M483" s="15">
        <f t="shared" ref="M483" si="1053">+M858</f>
        <v>0</v>
      </c>
    </row>
    <row r="484" spans="1:13" ht="15" customHeight="1">
      <c r="A484" s="3" t="str">
        <f t="shared" si="1037"/>
        <v>B4</v>
      </c>
      <c r="B484" s="15">
        <f t="shared" si="1038"/>
        <v>0</v>
      </c>
      <c r="C484" s="15">
        <f t="shared" ref="C484:D484" si="1054">+C859</f>
        <v>0</v>
      </c>
      <c r="D484" s="15">
        <f t="shared" si="1054"/>
        <v>0</v>
      </c>
      <c r="E484" s="15">
        <f t="shared" ref="E484:F484" si="1055">+E859</f>
        <v>0</v>
      </c>
      <c r="F484" s="15">
        <f t="shared" si="1055"/>
        <v>0</v>
      </c>
      <c r="G484" s="15">
        <f t="shared" ref="G484:H484" si="1056">+G859</f>
        <v>0</v>
      </c>
      <c r="H484" s="15">
        <f t="shared" si="1056"/>
        <v>0</v>
      </c>
      <c r="I484" s="15">
        <f t="shared" ref="I484:L484" si="1057">+I859</f>
        <v>0</v>
      </c>
      <c r="J484" s="15">
        <f t="shared" si="1057"/>
        <v>0</v>
      </c>
      <c r="K484" s="15">
        <f t="shared" si="1057"/>
        <v>0</v>
      </c>
      <c r="L484" s="15">
        <f t="shared" si="1057"/>
        <v>0</v>
      </c>
      <c r="M484" s="15">
        <f t="shared" ref="M484" si="1058">+M859</f>
        <v>0</v>
      </c>
    </row>
    <row r="485" spans="1:13" ht="15" customHeight="1">
      <c r="A485" s="3" t="str">
        <f t="shared" si="1037"/>
        <v>B5</v>
      </c>
      <c r="B485" s="15">
        <f t="shared" si="1038"/>
        <v>0</v>
      </c>
      <c r="C485" s="15">
        <f t="shared" ref="C485:D485" si="1059">+C860</f>
        <v>0</v>
      </c>
      <c r="D485" s="15">
        <f t="shared" si="1059"/>
        <v>0</v>
      </c>
      <c r="E485" s="15">
        <f t="shared" ref="E485:F485" si="1060">+E860</f>
        <v>0</v>
      </c>
      <c r="F485" s="15">
        <f t="shared" si="1060"/>
        <v>0</v>
      </c>
      <c r="G485" s="15">
        <f t="shared" ref="G485:H485" si="1061">+G860</f>
        <v>0</v>
      </c>
      <c r="H485" s="15">
        <f t="shared" si="1061"/>
        <v>0</v>
      </c>
      <c r="I485" s="15">
        <f t="shared" ref="I485:L485" si="1062">+I860</f>
        <v>0</v>
      </c>
      <c r="J485" s="15">
        <f t="shared" si="1062"/>
        <v>0</v>
      </c>
      <c r="K485" s="15">
        <f t="shared" si="1062"/>
        <v>0</v>
      </c>
      <c r="L485" s="15">
        <f t="shared" si="1062"/>
        <v>0</v>
      </c>
      <c r="M485" s="15">
        <f t="shared" ref="M485" si="1063">+M860</f>
        <v>0</v>
      </c>
    </row>
    <row r="486" spans="1:13" ht="15" customHeight="1">
      <c r="A486" s="3" t="str">
        <f t="shared" si="1037"/>
        <v>B6</v>
      </c>
      <c r="B486" s="15">
        <f t="shared" si="1038"/>
        <v>0</v>
      </c>
      <c r="C486" s="15">
        <f t="shared" ref="C486:D486" si="1064">+C861</f>
        <v>0</v>
      </c>
      <c r="D486" s="15">
        <f t="shared" si="1064"/>
        <v>0</v>
      </c>
      <c r="E486" s="15">
        <f t="shared" ref="E486:F486" si="1065">+E861</f>
        <v>0</v>
      </c>
      <c r="F486" s="15">
        <f t="shared" si="1065"/>
        <v>0</v>
      </c>
      <c r="G486" s="15">
        <f t="shared" ref="G486:H486" si="1066">+G861</f>
        <v>0</v>
      </c>
      <c r="H486" s="15">
        <f t="shared" si="1066"/>
        <v>0</v>
      </c>
      <c r="I486" s="15">
        <f t="shared" ref="I486:L486" si="1067">+I861</f>
        <v>0</v>
      </c>
      <c r="J486" s="15">
        <f t="shared" si="1067"/>
        <v>0</v>
      </c>
      <c r="K486" s="15">
        <f t="shared" si="1067"/>
        <v>0</v>
      </c>
      <c r="L486" s="15">
        <f t="shared" si="1067"/>
        <v>0</v>
      </c>
      <c r="M486" s="15">
        <f t="shared" ref="M486" si="1068">+M861</f>
        <v>0</v>
      </c>
    </row>
    <row r="487" spans="1:13" ht="15" customHeight="1">
      <c r="A487" s="3" t="str">
        <f t="shared" si="1037"/>
        <v>B7</v>
      </c>
      <c r="B487" s="15">
        <f t="shared" si="1038"/>
        <v>0</v>
      </c>
      <c r="C487" s="15">
        <f t="shared" ref="C487:D487" si="1069">+C862</f>
        <v>0</v>
      </c>
      <c r="D487" s="15">
        <f t="shared" si="1069"/>
        <v>0</v>
      </c>
      <c r="E487" s="15">
        <f t="shared" ref="E487:F487" si="1070">+E862</f>
        <v>0</v>
      </c>
      <c r="F487" s="15">
        <f t="shared" si="1070"/>
        <v>0</v>
      </c>
      <c r="G487" s="15">
        <f t="shared" ref="G487:H487" si="1071">+G862</f>
        <v>0</v>
      </c>
      <c r="H487" s="15">
        <f t="shared" si="1071"/>
        <v>0</v>
      </c>
      <c r="I487" s="15">
        <f t="shared" ref="I487:L487" si="1072">+I862</f>
        <v>0</v>
      </c>
      <c r="J487" s="15">
        <f t="shared" si="1072"/>
        <v>0</v>
      </c>
      <c r="K487" s="15">
        <f t="shared" si="1072"/>
        <v>0</v>
      </c>
      <c r="L487" s="15">
        <f t="shared" si="1072"/>
        <v>0</v>
      </c>
      <c r="M487" s="15">
        <f t="shared" ref="M487" si="1073">+M862</f>
        <v>0</v>
      </c>
    </row>
    <row r="488" spans="1:13" ht="15" customHeight="1">
      <c r="A488" s="3" t="str">
        <f t="shared" si="1037"/>
        <v>B8</v>
      </c>
      <c r="B488" s="15">
        <f t="shared" si="1038"/>
        <v>0</v>
      </c>
      <c r="C488" s="15">
        <f t="shared" ref="C488:D488" si="1074">+C863</f>
        <v>0</v>
      </c>
      <c r="D488" s="15">
        <f t="shared" si="1074"/>
        <v>0</v>
      </c>
      <c r="E488" s="15">
        <f t="shared" ref="E488:F488" si="1075">+E863</f>
        <v>0</v>
      </c>
      <c r="F488" s="15">
        <f t="shared" si="1075"/>
        <v>0</v>
      </c>
      <c r="G488" s="15">
        <f t="shared" ref="G488:H488" si="1076">+G863</f>
        <v>0</v>
      </c>
      <c r="H488" s="15">
        <f t="shared" si="1076"/>
        <v>0</v>
      </c>
      <c r="I488" s="15">
        <f t="shared" ref="I488:L488" si="1077">+I863</f>
        <v>0</v>
      </c>
      <c r="J488" s="15">
        <f t="shared" si="1077"/>
        <v>0</v>
      </c>
      <c r="K488" s="15">
        <f t="shared" si="1077"/>
        <v>0</v>
      </c>
      <c r="L488" s="15">
        <f t="shared" si="1077"/>
        <v>0</v>
      </c>
      <c r="M488" s="15">
        <f t="shared" ref="M488" si="1078">+M863</f>
        <v>0</v>
      </c>
    </row>
    <row r="489" spans="1:13" ht="15" customHeight="1">
      <c r="A489" s="3" t="str">
        <f t="shared" si="1037"/>
        <v>B9</v>
      </c>
      <c r="B489" s="15">
        <f t="shared" si="1038"/>
        <v>0</v>
      </c>
      <c r="C489" s="15">
        <f t="shared" ref="C489:D489" si="1079">+C864</f>
        <v>0</v>
      </c>
      <c r="D489" s="15">
        <f t="shared" si="1079"/>
        <v>0</v>
      </c>
      <c r="E489" s="15">
        <f t="shared" ref="E489:F489" si="1080">+E864</f>
        <v>0</v>
      </c>
      <c r="F489" s="15">
        <f t="shared" si="1080"/>
        <v>0</v>
      </c>
      <c r="G489" s="15">
        <f t="shared" ref="G489:H489" si="1081">+G864</f>
        <v>0</v>
      </c>
      <c r="H489" s="15">
        <f t="shared" si="1081"/>
        <v>0</v>
      </c>
      <c r="I489" s="15">
        <f t="shared" ref="I489:L489" si="1082">+I864</f>
        <v>0</v>
      </c>
      <c r="J489" s="15">
        <f t="shared" si="1082"/>
        <v>0</v>
      </c>
      <c r="K489" s="15">
        <f t="shared" si="1082"/>
        <v>0</v>
      </c>
      <c r="L489" s="15">
        <f t="shared" si="1082"/>
        <v>0</v>
      </c>
      <c r="M489" s="15">
        <f t="shared" ref="M489" si="1083">+M864</f>
        <v>0</v>
      </c>
    </row>
    <row r="490" spans="1:13" ht="15" customHeight="1">
      <c r="A490" s="3" t="str">
        <f t="shared" si="1037"/>
        <v>B10</v>
      </c>
      <c r="B490" s="15">
        <f t="shared" si="1038"/>
        <v>0</v>
      </c>
      <c r="C490" s="15">
        <f t="shared" ref="C490:D490" si="1084">+C865</f>
        <v>0</v>
      </c>
      <c r="D490" s="15">
        <f t="shared" si="1084"/>
        <v>0</v>
      </c>
      <c r="E490" s="15">
        <f t="shared" ref="E490:F490" si="1085">+E865</f>
        <v>0</v>
      </c>
      <c r="F490" s="15">
        <f t="shared" si="1085"/>
        <v>0</v>
      </c>
      <c r="G490" s="15">
        <f t="shared" ref="G490:H490" si="1086">+G865</f>
        <v>0</v>
      </c>
      <c r="H490" s="15">
        <f t="shared" si="1086"/>
        <v>0</v>
      </c>
      <c r="I490" s="15">
        <f t="shared" ref="I490:L490" si="1087">+I865</f>
        <v>0</v>
      </c>
      <c r="J490" s="15">
        <f t="shared" si="1087"/>
        <v>0</v>
      </c>
      <c r="K490" s="15">
        <f t="shared" si="1087"/>
        <v>0</v>
      </c>
      <c r="L490" s="15">
        <f t="shared" si="1087"/>
        <v>0</v>
      </c>
      <c r="M490" s="15">
        <f t="shared" ref="M490" si="1088">+M865</f>
        <v>0</v>
      </c>
    </row>
    <row r="491" spans="1:13" ht="15" customHeight="1">
      <c r="A491" s="104"/>
      <c r="B491" s="50"/>
      <c r="C491" s="50"/>
      <c r="D491" s="50"/>
      <c r="E491" s="50"/>
      <c r="F491" s="50"/>
      <c r="G491" s="50"/>
      <c r="H491" s="50"/>
      <c r="I491" s="50"/>
      <c r="J491" s="50"/>
      <c r="K491" s="50"/>
      <c r="L491" s="50"/>
      <c r="M491" s="50"/>
    </row>
    <row r="492" spans="1:13" ht="15" customHeight="1">
      <c r="A492" s="104"/>
      <c r="B492" s="50"/>
      <c r="C492" s="50"/>
      <c r="D492" s="50"/>
      <c r="E492" s="50"/>
      <c r="F492" s="50"/>
      <c r="G492" s="50"/>
      <c r="H492" s="50"/>
      <c r="I492" s="50"/>
      <c r="J492" s="50"/>
      <c r="K492" s="50"/>
      <c r="L492" s="50"/>
      <c r="M492" s="50"/>
    </row>
    <row r="493" spans="1:13" ht="15" customHeight="1">
      <c r="A493" s="104" t="s">
        <v>508</v>
      </c>
      <c r="B493" s="50" t="str">
        <f t="shared" ref="B493:I493" si="1089">B867</f>
        <v>Operating Regions</v>
      </c>
      <c r="C493" s="50" t="str">
        <f t="shared" si="1089"/>
        <v>Operating Regions</v>
      </c>
      <c r="D493" s="50" t="str">
        <f t="shared" si="1089"/>
        <v>Operating Regions</v>
      </c>
      <c r="E493" s="50" t="str">
        <f t="shared" si="1089"/>
        <v>Operating Regions</v>
      </c>
      <c r="F493" s="50" t="str">
        <f t="shared" si="1089"/>
        <v>Operating Regions</v>
      </c>
      <c r="G493" s="50" t="str">
        <f t="shared" si="1089"/>
        <v>Operating Regions</v>
      </c>
      <c r="H493" s="50" t="str">
        <f t="shared" si="1089"/>
        <v>Operating Regions</v>
      </c>
      <c r="I493" s="50" t="str">
        <f t="shared" si="1089"/>
        <v>Operating Regions</v>
      </c>
      <c r="J493" s="50" t="str">
        <f t="shared" ref="J493:M493" si="1090">J867</f>
        <v>Operating Regions</v>
      </c>
      <c r="K493" s="50" t="str">
        <f t="shared" si="1090"/>
        <v>Operating Regions</v>
      </c>
      <c r="L493" s="50" t="str">
        <f t="shared" si="1090"/>
        <v>Operating Regions</v>
      </c>
      <c r="M493" s="50" t="str">
        <f t="shared" si="1090"/>
        <v>Operating Regions</v>
      </c>
    </row>
    <row r="494" spans="1:13" ht="15" customHeight="1">
      <c r="A494" s="10" t="s">
        <v>56</v>
      </c>
      <c r="B494" s="17">
        <f t="shared" ref="B494:I494" si="1091">+SUMPRODUCT(B507:B516,B519:B528)</f>
        <v>6.4352921514986672E-2</v>
      </c>
      <c r="C494" s="17">
        <f t="shared" si="1091"/>
        <v>6.4352921514986672E-2</v>
      </c>
      <c r="D494" s="17">
        <f t="shared" si="1091"/>
        <v>6.5861604653835504E-2</v>
      </c>
      <c r="E494" s="17">
        <f t="shared" si="1091"/>
        <v>6.6287686648085528E-2</v>
      </c>
      <c r="F494" s="17">
        <f t="shared" si="1091"/>
        <v>5.9754749337324775E-2</v>
      </c>
      <c r="G494" s="17">
        <f t="shared" si="1091"/>
        <v>5.9754749337324775E-2</v>
      </c>
      <c r="H494" s="17">
        <f t="shared" si="1091"/>
        <v>5.8254749337324781E-2</v>
      </c>
      <c r="I494" s="17">
        <f t="shared" si="1091"/>
        <v>6.6045728963375794E-2</v>
      </c>
      <c r="J494" s="17">
        <f t="shared" ref="J494:M494" si="1092">+SUMPRODUCT(J507:J516,J519:J528)</f>
        <v>7.4630739752021766E-2</v>
      </c>
      <c r="K494" s="17">
        <f t="shared" si="1092"/>
        <v>7.4463348646386124E-2</v>
      </c>
      <c r="L494" s="17">
        <f t="shared" si="1092"/>
        <v>7.4295957540750482E-2</v>
      </c>
      <c r="M494" s="17">
        <f t="shared" si="1092"/>
        <v>7.4295957540750482E-2</v>
      </c>
    </row>
    <row r="495" spans="1:13" ht="15" customHeight="1">
      <c r="A495" s="10" t="str">
        <f>+$A868</f>
        <v>F1</v>
      </c>
      <c r="B495" s="25">
        <f t="shared" ref="B495:B504" si="1093">B507*B519</f>
        <v>6.4352921514986672E-2</v>
      </c>
      <c r="C495" s="25">
        <f t="shared" ref="C495:D495" si="1094">C507*C519</f>
        <v>6.4352921514986672E-2</v>
      </c>
      <c r="D495" s="25">
        <f t="shared" si="1094"/>
        <v>6.5861604653835504E-2</v>
      </c>
      <c r="E495" s="25">
        <f t="shared" ref="E495:F495" si="1095">E507*E519</f>
        <v>6.6287686648085528E-2</v>
      </c>
      <c r="F495" s="25">
        <f t="shared" si="1095"/>
        <v>5.9754749337324775E-2</v>
      </c>
      <c r="G495" s="25">
        <f t="shared" ref="G495:H495" si="1096">G507*G519</f>
        <v>5.9754749337324775E-2</v>
      </c>
      <c r="H495" s="25">
        <f t="shared" si="1096"/>
        <v>5.8254749337324781E-2</v>
      </c>
      <c r="I495" s="25">
        <f t="shared" ref="I495:L495" si="1097">I507*I519</f>
        <v>6.6045728963375794E-2</v>
      </c>
      <c r="J495" s="25">
        <f t="shared" si="1097"/>
        <v>7.4630739752021766E-2</v>
      </c>
      <c r="K495" s="25">
        <f t="shared" si="1097"/>
        <v>7.4463348646386124E-2</v>
      </c>
      <c r="L495" s="25">
        <f t="shared" si="1097"/>
        <v>7.4295957540750482E-2</v>
      </c>
      <c r="M495" s="25">
        <f t="shared" ref="M495" si="1098">M507*M519</f>
        <v>7.4295957540750482E-2</v>
      </c>
    </row>
    <row r="496" spans="1:13" ht="15" customHeight="1">
      <c r="A496" s="10" t="str">
        <f t="shared" ref="A496:A504" si="1099">+$A869</f>
        <v>F2</v>
      </c>
      <c r="B496" s="25">
        <f t="shared" si="1093"/>
        <v>0</v>
      </c>
      <c r="C496" s="25">
        <f t="shared" ref="C496:D496" si="1100">C508*C520</f>
        <v>0</v>
      </c>
      <c r="D496" s="25">
        <f t="shared" si="1100"/>
        <v>0</v>
      </c>
      <c r="E496" s="25">
        <f t="shared" ref="E496:F496" si="1101">E508*E520</f>
        <v>0</v>
      </c>
      <c r="F496" s="25">
        <f t="shared" si="1101"/>
        <v>0</v>
      </c>
      <c r="G496" s="25">
        <f t="shared" ref="G496:H496" si="1102">G508*G520</f>
        <v>0</v>
      </c>
      <c r="H496" s="25">
        <f t="shared" si="1102"/>
        <v>0</v>
      </c>
      <c r="I496" s="25">
        <f t="shared" ref="I496:L496" si="1103">I508*I520</f>
        <v>0</v>
      </c>
      <c r="J496" s="25">
        <f t="shared" si="1103"/>
        <v>0</v>
      </c>
      <c r="K496" s="25">
        <f t="shared" si="1103"/>
        <v>0</v>
      </c>
      <c r="L496" s="25">
        <f t="shared" si="1103"/>
        <v>0</v>
      </c>
      <c r="M496" s="25">
        <f t="shared" ref="M496" si="1104">M508*M520</f>
        <v>0</v>
      </c>
    </row>
    <row r="497" spans="1:13" ht="15" customHeight="1">
      <c r="A497" s="10" t="str">
        <f t="shared" si="1099"/>
        <v>F3</v>
      </c>
      <c r="B497" s="25">
        <f t="shared" si="1093"/>
        <v>0</v>
      </c>
      <c r="C497" s="25">
        <f t="shared" ref="C497:D497" si="1105">C509*C521</f>
        <v>0</v>
      </c>
      <c r="D497" s="25">
        <f t="shared" si="1105"/>
        <v>0</v>
      </c>
      <c r="E497" s="25">
        <f t="shared" ref="E497:F497" si="1106">E509*E521</f>
        <v>0</v>
      </c>
      <c r="F497" s="25">
        <f t="shared" si="1106"/>
        <v>0</v>
      </c>
      <c r="G497" s="25">
        <f t="shared" ref="G497:H497" si="1107">G509*G521</f>
        <v>0</v>
      </c>
      <c r="H497" s="25">
        <f t="shared" si="1107"/>
        <v>0</v>
      </c>
      <c r="I497" s="25">
        <f t="shared" ref="I497:L497" si="1108">I509*I521</f>
        <v>0</v>
      </c>
      <c r="J497" s="25">
        <f t="shared" si="1108"/>
        <v>0</v>
      </c>
      <c r="K497" s="25">
        <f t="shared" si="1108"/>
        <v>0</v>
      </c>
      <c r="L497" s="25">
        <f t="shared" si="1108"/>
        <v>0</v>
      </c>
      <c r="M497" s="25">
        <f t="shared" ref="M497" si="1109">M509*M521</f>
        <v>0</v>
      </c>
    </row>
    <row r="498" spans="1:13" ht="15" customHeight="1">
      <c r="A498" s="10" t="str">
        <f t="shared" si="1099"/>
        <v>F4</v>
      </c>
      <c r="B498" s="25">
        <f t="shared" si="1093"/>
        <v>0</v>
      </c>
      <c r="C498" s="25">
        <f t="shared" ref="C498:D498" si="1110">C510*C522</f>
        <v>0</v>
      </c>
      <c r="D498" s="25">
        <f t="shared" si="1110"/>
        <v>0</v>
      </c>
      <c r="E498" s="25">
        <f t="shared" ref="E498:F498" si="1111">E510*E522</f>
        <v>0</v>
      </c>
      <c r="F498" s="25">
        <f t="shared" si="1111"/>
        <v>0</v>
      </c>
      <c r="G498" s="25">
        <f t="shared" ref="G498:H498" si="1112">G510*G522</f>
        <v>0</v>
      </c>
      <c r="H498" s="25">
        <f t="shared" si="1112"/>
        <v>0</v>
      </c>
      <c r="I498" s="25">
        <f t="shared" ref="I498:L498" si="1113">I510*I522</f>
        <v>0</v>
      </c>
      <c r="J498" s="25">
        <f t="shared" si="1113"/>
        <v>0</v>
      </c>
      <c r="K498" s="25">
        <f t="shared" si="1113"/>
        <v>0</v>
      </c>
      <c r="L498" s="25">
        <f t="shared" si="1113"/>
        <v>0</v>
      </c>
      <c r="M498" s="25">
        <f t="shared" ref="M498" si="1114">M510*M522</f>
        <v>0</v>
      </c>
    </row>
    <row r="499" spans="1:13" ht="15" customHeight="1">
      <c r="A499" s="10" t="str">
        <f t="shared" si="1099"/>
        <v>F5</v>
      </c>
      <c r="B499" s="25">
        <f t="shared" si="1093"/>
        <v>0</v>
      </c>
      <c r="C499" s="25">
        <f t="shared" ref="C499:D499" si="1115">C511*C523</f>
        <v>0</v>
      </c>
      <c r="D499" s="25">
        <f t="shared" si="1115"/>
        <v>0</v>
      </c>
      <c r="E499" s="25">
        <f t="shared" ref="E499:F499" si="1116">E511*E523</f>
        <v>0</v>
      </c>
      <c r="F499" s="25">
        <f t="shared" si="1116"/>
        <v>0</v>
      </c>
      <c r="G499" s="25">
        <f t="shared" ref="G499:H499" si="1117">G511*G523</f>
        <v>0</v>
      </c>
      <c r="H499" s="25">
        <f t="shared" si="1117"/>
        <v>0</v>
      </c>
      <c r="I499" s="25">
        <f t="shared" ref="I499:L499" si="1118">I511*I523</f>
        <v>0</v>
      </c>
      <c r="J499" s="25">
        <f t="shared" si="1118"/>
        <v>0</v>
      </c>
      <c r="K499" s="25">
        <f t="shared" si="1118"/>
        <v>0</v>
      </c>
      <c r="L499" s="25">
        <f t="shared" si="1118"/>
        <v>0</v>
      </c>
      <c r="M499" s="25">
        <f t="shared" ref="M499" si="1119">M511*M523</f>
        <v>0</v>
      </c>
    </row>
    <row r="500" spans="1:13" ht="15" customHeight="1">
      <c r="A500" s="10" t="str">
        <f t="shared" si="1099"/>
        <v>F6</v>
      </c>
      <c r="B500" s="25">
        <f t="shared" si="1093"/>
        <v>0</v>
      </c>
      <c r="C500" s="25">
        <f t="shared" ref="C500:D500" si="1120">C512*C524</f>
        <v>0</v>
      </c>
      <c r="D500" s="25">
        <f t="shared" si="1120"/>
        <v>0</v>
      </c>
      <c r="E500" s="25">
        <f t="shared" ref="E500:F500" si="1121">E512*E524</f>
        <v>0</v>
      </c>
      <c r="F500" s="25">
        <f t="shared" si="1121"/>
        <v>0</v>
      </c>
      <c r="G500" s="25">
        <f t="shared" ref="G500:H500" si="1122">G512*G524</f>
        <v>0</v>
      </c>
      <c r="H500" s="25">
        <f t="shared" si="1122"/>
        <v>0</v>
      </c>
      <c r="I500" s="25">
        <f t="shared" ref="I500:L500" si="1123">I512*I524</f>
        <v>0</v>
      </c>
      <c r="J500" s="25">
        <f t="shared" si="1123"/>
        <v>0</v>
      </c>
      <c r="K500" s="25">
        <f t="shared" si="1123"/>
        <v>0</v>
      </c>
      <c r="L500" s="25">
        <f t="shared" si="1123"/>
        <v>0</v>
      </c>
      <c r="M500" s="25">
        <f t="shared" ref="M500" si="1124">M512*M524</f>
        <v>0</v>
      </c>
    </row>
    <row r="501" spans="1:13" ht="15" customHeight="1">
      <c r="A501" s="10" t="str">
        <f t="shared" si="1099"/>
        <v>F7</v>
      </c>
      <c r="B501" s="25">
        <f t="shared" si="1093"/>
        <v>0</v>
      </c>
      <c r="C501" s="25">
        <f t="shared" ref="C501:D501" si="1125">C513*C525</f>
        <v>0</v>
      </c>
      <c r="D501" s="25">
        <f t="shared" si="1125"/>
        <v>0</v>
      </c>
      <c r="E501" s="25">
        <f t="shared" ref="E501:F501" si="1126">E513*E525</f>
        <v>0</v>
      </c>
      <c r="F501" s="25">
        <f t="shared" si="1126"/>
        <v>0</v>
      </c>
      <c r="G501" s="25">
        <f t="shared" ref="G501:H501" si="1127">G513*G525</f>
        <v>0</v>
      </c>
      <c r="H501" s="25">
        <f t="shared" si="1127"/>
        <v>0</v>
      </c>
      <c r="I501" s="25">
        <f t="shared" ref="I501:L501" si="1128">I513*I525</f>
        <v>0</v>
      </c>
      <c r="J501" s="25">
        <f t="shared" si="1128"/>
        <v>0</v>
      </c>
      <c r="K501" s="25">
        <f t="shared" si="1128"/>
        <v>0</v>
      </c>
      <c r="L501" s="25">
        <f t="shared" si="1128"/>
        <v>0</v>
      </c>
      <c r="M501" s="25">
        <f t="shared" ref="M501" si="1129">M513*M525</f>
        <v>0</v>
      </c>
    </row>
    <row r="502" spans="1:13" ht="15" customHeight="1">
      <c r="A502" s="10" t="str">
        <f t="shared" si="1099"/>
        <v>F8</v>
      </c>
      <c r="B502" s="25">
        <f t="shared" si="1093"/>
        <v>0</v>
      </c>
      <c r="C502" s="25">
        <f t="shared" ref="C502:D502" si="1130">C514*C526</f>
        <v>0</v>
      </c>
      <c r="D502" s="25">
        <f t="shared" si="1130"/>
        <v>0</v>
      </c>
      <c r="E502" s="25">
        <f t="shared" ref="E502:F502" si="1131">E514*E526</f>
        <v>0</v>
      </c>
      <c r="F502" s="25">
        <f t="shared" si="1131"/>
        <v>0</v>
      </c>
      <c r="G502" s="25">
        <f t="shared" ref="G502:H502" si="1132">G514*G526</f>
        <v>0</v>
      </c>
      <c r="H502" s="25">
        <f t="shared" si="1132"/>
        <v>0</v>
      </c>
      <c r="I502" s="25">
        <f t="shared" ref="I502:L502" si="1133">I514*I526</f>
        <v>0</v>
      </c>
      <c r="J502" s="25">
        <f t="shared" si="1133"/>
        <v>0</v>
      </c>
      <c r="K502" s="25">
        <f t="shared" si="1133"/>
        <v>0</v>
      </c>
      <c r="L502" s="25">
        <f t="shared" si="1133"/>
        <v>0</v>
      </c>
      <c r="M502" s="25">
        <f t="shared" ref="M502" si="1134">M514*M526</f>
        <v>0</v>
      </c>
    </row>
    <row r="503" spans="1:13" ht="15" customHeight="1">
      <c r="A503" s="10" t="str">
        <f t="shared" si="1099"/>
        <v>F9</v>
      </c>
      <c r="B503" s="25">
        <f t="shared" si="1093"/>
        <v>0</v>
      </c>
      <c r="C503" s="25">
        <f t="shared" ref="C503:D503" si="1135">C515*C527</f>
        <v>0</v>
      </c>
      <c r="D503" s="25">
        <f t="shared" si="1135"/>
        <v>0</v>
      </c>
      <c r="E503" s="25">
        <f t="shared" ref="E503:F503" si="1136">E515*E527</f>
        <v>0</v>
      </c>
      <c r="F503" s="25">
        <f t="shared" si="1136"/>
        <v>0</v>
      </c>
      <c r="G503" s="25">
        <f t="shared" ref="G503:H503" si="1137">G515*G527</f>
        <v>0</v>
      </c>
      <c r="H503" s="25">
        <f t="shared" si="1137"/>
        <v>0</v>
      </c>
      <c r="I503" s="25">
        <f t="shared" ref="I503:L503" si="1138">I515*I527</f>
        <v>0</v>
      </c>
      <c r="J503" s="25">
        <f t="shared" si="1138"/>
        <v>0</v>
      </c>
      <c r="K503" s="25">
        <f t="shared" si="1138"/>
        <v>0</v>
      </c>
      <c r="L503" s="25">
        <f t="shared" si="1138"/>
        <v>0</v>
      </c>
      <c r="M503" s="25">
        <f t="shared" ref="M503" si="1139">M515*M527</f>
        <v>0</v>
      </c>
    </row>
    <row r="504" spans="1:13" ht="15" customHeight="1">
      <c r="A504" s="10" t="str">
        <f t="shared" si="1099"/>
        <v>F10</v>
      </c>
      <c r="B504" s="25">
        <f t="shared" si="1093"/>
        <v>0</v>
      </c>
      <c r="C504" s="25">
        <f t="shared" ref="C504:D504" si="1140">C516*C528</f>
        <v>0</v>
      </c>
      <c r="D504" s="25">
        <f t="shared" si="1140"/>
        <v>0</v>
      </c>
      <c r="E504" s="25">
        <f t="shared" ref="E504:F504" si="1141">E516*E528</f>
        <v>0</v>
      </c>
      <c r="F504" s="25">
        <f t="shared" si="1141"/>
        <v>0</v>
      </c>
      <c r="G504" s="25">
        <f t="shared" ref="G504:H504" si="1142">G516*G528</f>
        <v>0</v>
      </c>
      <c r="H504" s="25">
        <f t="shared" si="1142"/>
        <v>0</v>
      </c>
      <c r="I504" s="25">
        <f t="shared" ref="I504:L504" si="1143">I516*I528</f>
        <v>0</v>
      </c>
      <c r="J504" s="25">
        <f t="shared" si="1143"/>
        <v>0</v>
      </c>
      <c r="K504" s="25">
        <f t="shared" si="1143"/>
        <v>0</v>
      </c>
      <c r="L504" s="25">
        <f t="shared" si="1143"/>
        <v>0</v>
      </c>
      <c r="M504" s="25">
        <f t="shared" ref="M504" si="1144">M516*M528</f>
        <v>0</v>
      </c>
    </row>
    <row r="505" spans="1:13" ht="15" customHeight="1">
      <c r="A505" s="10"/>
      <c r="B505" s="31"/>
      <c r="C505" s="31"/>
      <c r="D505" s="31"/>
      <c r="E505" s="31"/>
      <c r="F505" s="31"/>
      <c r="G505" s="31"/>
      <c r="H505" s="31"/>
      <c r="I505" s="31"/>
      <c r="J505" s="31"/>
      <c r="K505" s="31"/>
      <c r="L505" s="31"/>
      <c r="M505" s="31"/>
    </row>
    <row r="506" spans="1:13" ht="15" customHeight="1">
      <c r="A506" s="10" t="s">
        <v>54</v>
      </c>
      <c r="B506" s="17">
        <f t="shared" ref="B506:I506" si="1145">+SUM(B507:B516)</f>
        <v>1</v>
      </c>
      <c r="C506" s="17">
        <f t="shared" si="1145"/>
        <v>1</v>
      </c>
      <c r="D506" s="17">
        <f t="shared" si="1145"/>
        <v>1</v>
      </c>
      <c r="E506" s="17">
        <f t="shared" si="1145"/>
        <v>1</v>
      </c>
      <c r="F506" s="17">
        <f t="shared" si="1145"/>
        <v>1</v>
      </c>
      <c r="G506" s="17">
        <f t="shared" si="1145"/>
        <v>1</v>
      </c>
      <c r="H506" s="17">
        <f t="shared" si="1145"/>
        <v>1</v>
      </c>
      <c r="I506" s="17">
        <f t="shared" si="1145"/>
        <v>1</v>
      </c>
      <c r="J506" s="17">
        <f t="shared" ref="J506:M506" si="1146">+SUM(J507:J516)</f>
        <v>1</v>
      </c>
      <c r="K506" s="17">
        <f t="shared" si="1146"/>
        <v>1</v>
      </c>
      <c r="L506" s="17">
        <f t="shared" si="1146"/>
        <v>1</v>
      </c>
      <c r="M506" s="17">
        <f t="shared" si="1146"/>
        <v>1</v>
      </c>
    </row>
    <row r="507" spans="1:13" ht="15" customHeight="1">
      <c r="A507" s="10" t="str">
        <f t="shared" ref="A507:A516" si="1147">A495</f>
        <v>F1</v>
      </c>
      <c r="B507" s="25">
        <f t="shared" ref="B507:I507" si="1148">+B531/B530</f>
        <v>1</v>
      </c>
      <c r="C507" s="25">
        <f t="shared" si="1148"/>
        <v>1</v>
      </c>
      <c r="D507" s="25">
        <f t="shared" si="1148"/>
        <v>1</v>
      </c>
      <c r="E507" s="25">
        <f t="shared" si="1148"/>
        <v>1</v>
      </c>
      <c r="F507" s="25">
        <f t="shared" si="1148"/>
        <v>1</v>
      </c>
      <c r="G507" s="25">
        <f t="shared" si="1148"/>
        <v>1</v>
      </c>
      <c r="H507" s="25">
        <f t="shared" si="1148"/>
        <v>1</v>
      </c>
      <c r="I507" s="25">
        <f t="shared" si="1148"/>
        <v>1</v>
      </c>
      <c r="J507" s="25">
        <f t="shared" ref="J507:M507" si="1149">+J531/J530</f>
        <v>1</v>
      </c>
      <c r="K507" s="25">
        <f t="shared" si="1149"/>
        <v>1</v>
      </c>
      <c r="L507" s="25">
        <f t="shared" si="1149"/>
        <v>1</v>
      </c>
      <c r="M507" s="25">
        <f t="shared" si="1149"/>
        <v>1</v>
      </c>
    </row>
    <row r="508" spans="1:13" ht="15" customHeight="1">
      <c r="A508" s="10" t="str">
        <f t="shared" si="1147"/>
        <v>F2</v>
      </c>
      <c r="B508" s="25">
        <f t="shared" ref="B508:I508" si="1150">+B532/B530</f>
        <v>0</v>
      </c>
      <c r="C508" s="25">
        <f t="shared" si="1150"/>
        <v>0</v>
      </c>
      <c r="D508" s="25">
        <f t="shared" si="1150"/>
        <v>0</v>
      </c>
      <c r="E508" s="25">
        <f t="shared" si="1150"/>
        <v>0</v>
      </c>
      <c r="F508" s="25">
        <f t="shared" si="1150"/>
        <v>0</v>
      </c>
      <c r="G508" s="25">
        <f t="shared" si="1150"/>
        <v>0</v>
      </c>
      <c r="H508" s="25">
        <f t="shared" si="1150"/>
        <v>0</v>
      </c>
      <c r="I508" s="25">
        <f t="shared" si="1150"/>
        <v>0</v>
      </c>
      <c r="J508" s="25">
        <f t="shared" ref="J508:M508" si="1151">+J532/J530</f>
        <v>0</v>
      </c>
      <c r="K508" s="25">
        <f t="shared" si="1151"/>
        <v>0</v>
      </c>
      <c r="L508" s="25">
        <f t="shared" si="1151"/>
        <v>0</v>
      </c>
      <c r="M508" s="25">
        <f t="shared" si="1151"/>
        <v>0</v>
      </c>
    </row>
    <row r="509" spans="1:13" ht="15" customHeight="1">
      <c r="A509" s="10" t="str">
        <f t="shared" si="1147"/>
        <v>F3</v>
      </c>
      <c r="B509" s="25">
        <f t="shared" ref="B509:I509" si="1152">+B533/B530</f>
        <v>0</v>
      </c>
      <c r="C509" s="25">
        <f t="shared" si="1152"/>
        <v>0</v>
      </c>
      <c r="D509" s="25">
        <f t="shared" si="1152"/>
        <v>0</v>
      </c>
      <c r="E509" s="25">
        <f t="shared" si="1152"/>
        <v>0</v>
      </c>
      <c r="F509" s="25">
        <f t="shared" si="1152"/>
        <v>0</v>
      </c>
      <c r="G509" s="25">
        <f t="shared" si="1152"/>
        <v>0</v>
      </c>
      <c r="H509" s="25">
        <f t="shared" si="1152"/>
        <v>0</v>
      </c>
      <c r="I509" s="25">
        <f t="shared" si="1152"/>
        <v>0</v>
      </c>
      <c r="J509" s="25">
        <f t="shared" ref="J509:M509" si="1153">+J533/J530</f>
        <v>0</v>
      </c>
      <c r="K509" s="25">
        <f t="shared" si="1153"/>
        <v>0</v>
      </c>
      <c r="L509" s="25">
        <f t="shared" si="1153"/>
        <v>0</v>
      </c>
      <c r="M509" s="25">
        <f t="shared" si="1153"/>
        <v>0</v>
      </c>
    </row>
    <row r="510" spans="1:13" ht="15" customHeight="1">
      <c r="A510" s="10" t="str">
        <f t="shared" si="1147"/>
        <v>F4</v>
      </c>
      <c r="B510" s="25">
        <f t="shared" ref="B510:I510" si="1154">+B534/B530</f>
        <v>0</v>
      </c>
      <c r="C510" s="25">
        <f t="shared" si="1154"/>
        <v>0</v>
      </c>
      <c r="D510" s="25">
        <f t="shared" si="1154"/>
        <v>0</v>
      </c>
      <c r="E510" s="25">
        <f t="shared" si="1154"/>
        <v>0</v>
      </c>
      <c r="F510" s="25">
        <f t="shared" si="1154"/>
        <v>0</v>
      </c>
      <c r="G510" s="25">
        <f t="shared" si="1154"/>
        <v>0</v>
      </c>
      <c r="H510" s="25">
        <f t="shared" si="1154"/>
        <v>0</v>
      </c>
      <c r="I510" s="25">
        <f t="shared" si="1154"/>
        <v>0</v>
      </c>
      <c r="J510" s="25">
        <f t="shared" ref="J510:M510" si="1155">+J534/J530</f>
        <v>0</v>
      </c>
      <c r="K510" s="25">
        <f t="shared" si="1155"/>
        <v>0</v>
      </c>
      <c r="L510" s="25">
        <f t="shared" si="1155"/>
        <v>0</v>
      </c>
      <c r="M510" s="25">
        <f t="shared" si="1155"/>
        <v>0</v>
      </c>
    </row>
    <row r="511" spans="1:13" ht="15" customHeight="1">
      <c r="A511" s="10" t="str">
        <f t="shared" si="1147"/>
        <v>F5</v>
      </c>
      <c r="B511" s="25">
        <f t="shared" ref="B511:I511" si="1156">+B535/B530</f>
        <v>0</v>
      </c>
      <c r="C511" s="25">
        <f t="shared" si="1156"/>
        <v>0</v>
      </c>
      <c r="D511" s="25">
        <f t="shared" si="1156"/>
        <v>0</v>
      </c>
      <c r="E511" s="25">
        <f t="shared" si="1156"/>
        <v>0</v>
      </c>
      <c r="F511" s="25">
        <f t="shared" si="1156"/>
        <v>0</v>
      </c>
      <c r="G511" s="25">
        <f t="shared" si="1156"/>
        <v>0</v>
      </c>
      <c r="H511" s="25">
        <f t="shared" si="1156"/>
        <v>0</v>
      </c>
      <c r="I511" s="25">
        <f t="shared" si="1156"/>
        <v>0</v>
      </c>
      <c r="J511" s="25">
        <f t="shared" ref="J511:M511" si="1157">+J535/J530</f>
        <v>0</v>
      </c>
      <c r="K511" s="25">
        <f t="shared" si="1157"/>
        <v>0</v>
      </c>
      <c r="L511" s="25">
        <f t="shared" si="1157"/>
        <v>0</v>
      </c>
      <c r="M511" s="25">
        <f t="shared" si="1157"/>
        <v>0</v>
      </c>
    </row>
    <row r="512" spans="1:13" ht="15" customHeight="1">
      <c r="A512" s="10" t="str">
        <f t="shared" si="1147"/>
        <v>F6</v>
      </c>
      <c r="B512" s="25">
        <f t="shared" ref="B512:I512" si="1158">+B536/B530</f>
        <v>0</v>
      </c>
      <c r="C512" s="25">
        <f t="shared" si="1158"/>
        <v>0</v>
      </c>
      <c r="D512" s="25">
        <f t="shared" si="1158"/>
        <v>0</v>
      </c>
      <c r="E512" s="25">
        <f t="shared" si="1158"/>
        <v>0</v>
      </c>
      <c r="F512" s="25">
        <f t="shared" si="1158"/>
        <v>0</v>
      </c>
      <c r="G512" s="25">
        <f t="shared" si="1158"/>
        <v>0</v>
      </c>
      <c r="H512" s="25">
        <f t="shared" si="1158"/>
        <v>0</v>
      </c>
      <c r="I512" s="25">
        <f t="shared" si="1158"/>
        <v>0</v>
      </c>
      <c r="J512" s="25">
        <f t="shared" ref="J512:M512" si="1159">+J536/J530</f>
        <v>0</v>
      </c>
      <c r="K512" s="25">
        <f t="shared" si="1159"/>
        <v>0</v>
      </c>
      <c r="L512" s="25">
        <f t="shared" si="1159"/>
        <v>0</v>
      </c>
      <c r="M512" s="25">
        <f t="shared" si="1159"/>
        <v>0</v>
      </c>
    </row>
    <row r="513" spans="1:13" ht="15" customHeight="1">
      <c r="A513" s="10" t="str">
        <f t="shared" si="1147"/>
        <v>F7</v>
      </c>
      <c r="B513" s="25">
        <f t="shared" ref="B513:I513" si="1160">+B537/B530</f>
        <v>0</v>
      </c>
      <c r="C513" s="25">
        <f t="shared" si="1160"/>
        <v>0</v>
      </c>
      <c r="D513" s="25">
        <f t="shared" si="1160"/>
        <v>0</v>
      </c>
      <c r="E513" s="25">
        <f t="shared" si="1160"/>
        <v>0</v>
      </c>
      <c r="F513" s="25">
        <f t="shared" si="1160"/>
        <v>0</v>
      </c>
      <c r="G513" s="25">
        <f t="shared" si="1160"/>
        <v>0</v>
      </c>
      <c r="H513" s="25">
        <f t="shared" si="1160"/>
        <v>0</v>
      </c>
      <c r="I513" s="25">
        <f t="shared" si="1160"/>
        <v>0</v>
      </c>
      <c r="J513" s="25">
        <f t="shared" ref="J513:M513" si="1161">+J537/J530</f>
        <v>0</v>
      </c>
      <c r="K513" s="25">
        <f t="shared" si="1161"/>
        <v>0</v>
      </c>
      <c r="L513" s="25">
        <f t="shared" si="1161"/>
        <v>0</v>
      </c>
      <c r="M513" s="25">
        <f t="shared" si="1161"/>
        <v>0</v>
      </c>
    </row>
    <row r="514" spans="1:13" ht="15" customHeight="1">
      <c r="A514" s="10" t="str">
        <f t="shared" si="1147"/>
        <v>F8</v>
      </c>
      <c r="B514" s="25">
        <f t="shared" ref="B514:I514" si="1162">+B538/B530</f>
        <v>0</v>
      </c>
      <c r="C514" s="25">
        <f t="shared" si="1162"/>
        <v>0</v>
      </c>
      <c r="D514" s="25">
        <f t="shared" si="1162"/>
        <v>0</v>
      </c>
      <c r="E514" s="25">
        <f t="shared" si="1162"/>
        <v>0</v>
      </c>
      <c r="F514" s="25">
        <f t="shared" si="1162"/>
        <v>0</v>
      </c>
      <c r="G514" s="25">
        <f t="shared" si="1162"/>
        <v>0</v>
      </c>
      <c r="H514" s="25">
        <f t="shared" si="1162"/>
        <v>0</v>
      </c>
      <c r="I514" s="25">
        <f t="shared" si="1162"/>
        <v>0</v>
      </c>
      <c r="J514" s="25">
        <f t="shared" ref="J514:M514" si="1163">+J538/J530</f>
        <v>0</v>
      </c>
      <c r="K514" s="25">
        <f t="shared" si="1163"/>
        <v>0</v>
      </c>
      <c r="L514" s="25">
        <f t="shared" si="1163"/>
        <v>0</v>
      </c>
      <c r="M514" s="25">
        <f t="shared" si="1163"/>
        <v>0</v>
      </c>
    </row>
    <row r="515" spans="1:13" ht="15" customHeight="1">
      <c r="A515" s="10" t="str">
        <f t="shared" si="1147"/>
        <v>F9</v>
      </c>
      <c r="B515" s="25">
        <f t="shared" ref="B515:I515" si="1164">+B539/B530</f>
        <v>0</v>
      </c>
      <c r="C515" s="25">
        <f t="shared" si="1164"/>
        <v>0</v>
      </c>
      <c r="D515" s="25">
        <f t="shared" si="1164"/>
        <v>0</v>
      </c>
      <c r="E515" s="25">
        <f t="shared" si="1164"/>
        <v>0</v>
      </c>
      <c r="F515" s="25">
        <f t="shared" si="1164"/>
        <v>0</v>
      </c>
      <c r="G515" s="25">
        <f t="shared" si="1164"/>
        <v>0</v>
      </c>
      <c r="H515" s="25">
        <f t="shared" si="1164"/>
        <v>0</v>
      </c>
      <c r="I515" s="25">
        <f t="shared" si="1164"/>
        <v>0</v>
      </c>
      <c r="J515" s="25">
        <f t="shared" ref="J515:M515" si="1165">+J539/J530</f>
        <v>0</v>
      </c>
      <c r="K515" s="25">
        <f t="shared" si="1165"/>
        <v>0</v>
      </c>
      <c r="L515" s="25">
        <f t="shared" si="1165"/>
        <v>0</v>
      </c>
      <c r="M515" s="25">
        <f t="shared" si="1165"/>
        <v>0</v>
      </c>
    </row>
    <row r="516" spans="1:13" ht="15" customHeight="1">
      <c r="A516" s="10" t="str">
        <f t="shared" si="1147"/>
        <v>F10</v>
      </c>
      <c r="B516" s="25">
        <f t="shared" ref="B516:I516" si="1166">+B540/B530</f>
        <v>0</v>
      </c>
      <c r="C516" s="25">
        <f t="shared" si="1166"/>
        <v>0</v>
      </c>
      <c r="D516" s="25">
        <f t="shared" si="1166"/>
        <v>0</v>
      </c>
      <c r="E516" s="25">
        <f t="shared" si="1166"/>
        <v>0</v>
      </c>
      <c r="F516" s="25">
        <f t="shared" si="1166"/>
        <v>0</v>
      </c>
      <c r="G516" s="25">
        <f t="shared" si="1166"/>
        <v>0</v>
      </c>
      <c r="H516" s="25">
        <f t="shared" si="1166"/>
        <v>0</v>
      </c>
      <c r="I516" s="25">
        <f t="shared" si="1166"/>
        <v>0</v>
      </c>
      <c r="J516" s="25">
        <f t="shared" ref="J516:M516" si="1167">+J540/J530</f>
        <v>0</v>
      </c>
      <c r="K516" s="25">
        <f t="shared" si="1167"/>
        <v>0</v>
      </c>
      <c r="L516" s="25">
        <f t="shared" si="1167"/>
        <v>0</v>
      </c>
      <c r="M516" s="25">
        <f t="shared" si="1167"/>
        <v>0</v>
      </c>
    </row>
    <row r="517" spans="1:13" ht="15" customHeight="1">
      <c r="A517" s="10"/>
      <c r="B517" s="31"/>
      <c r="C517" s="31"/>
      <c r="D517" s="31"/>
      <c r="E517" s="31"/>
      <c r="F517" s="31"/>
      <c r="G517" s="31"/>
      <c r="H517" s="31"/>
      <c r="I517" s="31"/>
      <c r="J517" s="31"/>
      <c r="K517" s="31"/>
      <c r="L517" s="31"/>
      <c r="M517" s="31"/>
    </row>
    <row r="518" spans="1:13" ht="15" customHeight="1">
      <c r="A518" s="10" t="s">
        <v>58</v>
      </c>
      <c r="B518" s="31"/>
      <c r="C518" s="31"/>
      <c r="D518" s="31"/>
      <c r="E518" s="31"/>
      <c r="F518" s="31"/>
      <c r="G518" s="31"/>
      <c r="H518" s="31"/>
      <c r="I518" s="31"/>
      <c r="J518" s="31"/>
      <c r="K518" s="31"/>
      <c r="L518" s="31"/>
      <c r="M518" s="31"/>
    </row>
    <row r="519" spans="1:13" ht="15" customHeight="1">
      <c r="A519" s="10" t="str">
        <f t="shared" ref="A519:A528" si="1168">A507</f>
        <v>F1</v>
      </c>
      <c r="B519" s="25">
        <f t="shared" ref="B519:B528" si="1169">+B868</f>
        <v>6.4352921514986672E-2</v>
      </c>
      <c r="C519" s="25">
        <f t="shared" ref="C519:D519" si="1170">+C868</f>
        <v>6.4352921514986672E-2</v>
      </c>
      <c r="D519" s="25">
        <f t="shared" si="1170"/>
        <v>6.5861604653835504E-2</v>
      </c>
      <c r="E519" s="25">
        <f t="shared" ref="E519:F519" si="1171">+E868</f>
        <v>6.6287686648085528E-2</v>
      </c>
      <c r="F519" s="25">
        <f t="shared" si="1171"/>
        <v>5.9754749337324775E-2</v>
      </c>
      <c r="G519" s="25">
        <f t="shared" ref="G519:H519" si="1172">+G868</f>
        <v>5.9754749337324775E-2</v>
      </c>
      <c r="H519" s="25">
        <f t="shared" si="1172"/>
        <v>5.8254749337324781E-2</v>
      </c>
      <c r="I519" s="25">
        <f t="shared" ref="I519:L519" si="1173">+I868</f>
        <v>6.6045728963375794E-2</v>
      </c>
      <c r="J519" s="25">
        <f t="shared" si="1173"/>
        <v>7.4630739752021766E-2</v>
      </c>
      <c r="K519" s="25">
        <f t="shared" si="1173"/>
        <v>7.4463348646386124E-2</v>
      </c>
      <c r="L519" s="25">
        <f t="shared" si="1173"/>
        <v>7.4295957540750482E-2</v>
      </c>
      <c r="M519" s="25">
        <f t="shared" ref="M519" si="1174">+M868</f>
        <v>7.4295957540750482E-2</v>
      </c>
    </row>
    <row r="520" spans="1:13" ht="15" customHeight="1">
      <c r="A520" s="10" t="str">
        <f t="shared" si="1168"/>
        <v>F2</v>
      </c>
      <c r="B520" s="25">
        <f t="shared" si="1169"/>
        <v>0</v>
      </c>
      <c r="C520" s="25">
        <f t="shared" ref="C520:D520" si="1175">+C869</f>
        <v>0</v>
      </c>
      <c r="D520" s="25">
        <f t="shared" si="1175"/>
        <v>0</v>
      </c>
      <c r="E520" s="25">
        <f t="shared" ref="E520:F520" si="1176">+E869</f>
        <v>0</v>
      </c>
      <c r="F520" s="25">
        <f t="shared" si="1176"/>
        <v>0</v>
      </c>
      <c r="G520" s="25">
        <f t="shared" ref="G520:H520" si="1177">+G869</f>
        <v>0</v>
      </c>
      <c r="H520" s="25">
        <f t="shared" si="1177"/>
        <v>0</v>
      </c>
      <c r="I520" s="25">
        <f t="shared" ref="I520:L520" si="1178">+I869</f>
        <v>0</v>
      </c>
      <c r="J520" s="25">
        <f t="shared" si="1178"/>
        <v>0</v>
      </c>
      <c r="K520" s="25">
        <f t="shared" si="1178"/>
        <v>0</v>
      </c>
      <c r="L520" s="25">
        <f t="shared" si="1178"/>
        <v>0</v>
      </c>
      <c r="M520" s="25">
        <f t="shared" ref="M520" si="1179">+M869</f>
        <v>0</v>
      </c>
    </row>
    <row r="521" spans="1:13" ht="15" customHeight="1">
      <c r="A521" s="10" t="str">
        <f t="shared" si="1168"/>
        <v>F3</v>
      </c>
      <c r="B521" s="25">
        <f t="shared" si="1169"/>
        <v>0</v>
      </c>
      <c r="C521" s="25">
        <f t="shared" ref="C521:D521" si="1180">+C870</f>
        <v>0</v>
      </c>
      <c r="D521" s="25">
        <f t="shared" si="1180"/>
        <v>0</v>
      </c>
      <c r="E521" s="25">
        <f t="shared" ref="E521:F521" si="1181">+E870</f>
        <v>0</v>
      </c>
      <c r="F521" s="25">
        <f t="shared" si="1181"/>
        <v>0</v>
      </c>
      <c r="G521" s="25">
        <f t="shared" ref="G521:H521" si="1182">+G870</f>
        <v>0</v>
      </c>
      <c r="H521" s="25">
        <f t="shared" si="1182"/>
        <v>0</v>
      </c>
      <c r="I521" s="25">
        <f t="shared" ref="I521:L521" si="1183">+I870</f>
        <v>0</v>
      </c>
      <c r="J521" s="25">
        <f t="shared" si="1183"/>
        <v>0</v>
      </c>
      <c r="K521" s="25">
        <f t="shared" si="1183"/>
        <v>0</v>
      </c>
      <c r="L521" s="25">
        <f t="shared" si="1183"/>
        <v>0</v>
      </c>
      <c r="M521" s="25">
        <f t="shared" ref="M521" si="1184">+M870</f>
        <v>0</v>
      </c>
    </row>
    <row r="522" spans="1:13" ht="15" customHeight="1">
      <c r="A522" s="10" t="str">
        <f t="shared" si="1168"/>
        <v>F4</v>
      </c>
      <c r="B522" s="25">
        <f t="shared" si="1169"/>
        <v>0</v>
      </c>
      <c r="C522" s="25">
        <f t="shared" ref="C522:D522" si="1185">+C871</f>
        <v>0</v>
      </c>
      <c r="D522" s="25">
        <f t="shared" si="1185"/>
        <v>0</v>
      </c>
      <c r="E522" s="25">
        <f t="shared" ref="E522:F522" si="1186">+E871</f>
        <v>0</v>
      </c>
      <c r="F522" s="25">
        <f t="shared" si="1186"/>
        <v>0</v>
      </c>
      <c r="G522" s="25">
        <f t="shared" ref="G522:H522" si="1187">+G871</f>
        <v>0</v>
      </c>
      <c r="H522" s="25">
        <f t="shared" si="1187"/>
        <v>0</v>
      </c>
      <c r="I522" s="25">
        <f t="shared" ref="I522:L522" si="1188">+I871</f>
        <v>0</v>
      </c>
      <c r="J522" s="25">
        <f t="shared" si="1188"/>
        <v>0</v>
      </c>
      <c r="K522" s="25">
        <f t="shared" si="1188"/>
        <v>0</v>
      </c>
      <c r="L522" s="25">
        <f t="shared" si="1188"/>
        <v>0</v>
      </c>
      <c r="M522" s="25">
        <f t="shared" ref="M522" si="1189">+M871</f>
        <v>0</v>
      </c>
    </row>
    <row r="523" spans="1:13" ht="15" customHeight="1">
      <c r="A523" s="10" t="str">
        <f t="shared" si="1168"/>
        <v>F5</v>
      </c>
      <c r="B523" s="25">
        <f t="shared" si="1169"/>
        <v>0</v>
      </c>
      <c r="C523" s="25">
        <f t="shared" ref="C523:D523" si="1190">+C872</f>
        <v>0</v>
      </c>
      <c r="D523" s="25">
        <f t="shared" si="1190"/>
        <v>0</v>
      </c>
      <c r="E523" s="25">
        <f t="shared" ref="E523:F523" si="1191">+E872</f>
        <v>0</v>
      </c>
      <c r="F523" s="25">
        <f t="shared" si="1191"/>
        <v>0</v>
      </c>
      <c r="G523" s="25">
        <f t="shared" ref="G523:H523" si="1192">+G872</f>
        <v>0</v>
      </c>
      <c r="H523" s="25">
        <f t="shared" si="1192"/>
        <v>0</v>
      </c>
      <c r="I523" s="25">
        <f t="shared" ref="I523:L523" si="1193">+I872</f>
        <v>0</v>
      </c>
      <c r="J523" s="25">
        <f t="shared" si="1193"/>
        <v>0</v>
      </c>
      <c r="K523" s="25">
        <f t="shared" si="1193"/>
        <v>0</v>
      </c>
      <c r="L523" s="25">
        <f t="shared" si="1193"/>
        <v>0</v>
      </c>
      <c r="M523" s="25">
        <f t="shared" ref="M523" si="1194">+M872</f>
        <v>0</v>
      </c>
    </row>
    <row r="524" spans="1:13" ht="15" customHeight="1">
      <c r="A524" s="10" t="str">
        <f t="shared" si="1168"/>
        <v>F6</v>
      </c>
      <c r="B524" s="25">
        <f t="shared" si="1169"/>
        <v>0</v>
      </c>
      <c r="C524" s="25">
        <f t="shared" ref="C524:D524" si="1195">+C873</f>
        <v>0</v>
      </c>
      <c r="D524" s="25">
        <f t="shared" si="1195"/>
        <v>0</v>
      </c>
      <c r="E524" s="25">
        <f t="shared" ref="E524:F524" si="1196">+E873</f>
        <v>0</v>
      </c>
      <c r="F524" s="25">
        <f t="shared" si="1196"/>
        <v>0</v>
      </c>
      <c r="G524" s="25">
        <f t="shared" ref="G524:H524" si="1197">+G873</f>
        <v>0</v>
      </c>
      <c r="H524" s="25">
        <f t="shared" si="1197"/>
        <v>0</v>
      </c>
      <c r="I524" s="25">
        <f t="shared" ref="I524:L524" si="1198">+I873</f>
        <v>0</v>
      </c>
      <c r="J524" s="25">
        <f t="shared" si="1198"/>
        <v>0</v>
      </c>
      <c r="K524" s="25">
        <f t="shared" si="1198"/>
        <v>0</v>
      </c>
      <c r="L524" s="25">
        <f t="shared" si="1198"/>
        <v>0</v>
      </c>
      <c r="M524" s="25">
        <f t="shared" ref="M524" si="1199">+M873</f>
        <v>0</v>
      </c>
    </row>
    <row r="525" spans="1:13" ht="15" customHeight="1">
      <c r="A525" s="10" t="str">
        <f t="shared" si="1168"/>
        <v>F7</v>
      </c>
      <c r="B525" s="25">
        <f t="shared" si="1169"/>
        <v>0</v>
      </c>
      <c r="C525" s="25">
        <f t="shared" ref="C525:D525" si="1200">+C874</f>
        <v>0</v>
      </c>
      <c r="D525" s="25">
        <f t="shared" si="1200"/>
        <v>0</v>
      </c>
      <c r="E525" s="25">
        <f t="shared" ref="E525:F525" si="1201">+E874</f>
        <v>0</v>
      </c>
      <c r="F525" s="25">
        <f t="shared" si="1201"/>
        <v>0</v>
      </c>
      <c r="G525" s="25">
        <f t="shared" ref="G525:H525" si="1202">+G874</f>
        <v>0</v>
      </c>
      <c r="H525" s="25">
        <f t="shared" si="1202"/>
        <v>0</v>
      </c>
      <c r="I525" s="25">
        <f t="shared" ref="I525:L525" si="1203">+I874</f>
        <v>0</v>
      </c>
      <c r="J525" s="25">
        <f t="shared" si="1203"/>
        <v>0</v>
      </c>
      <c r="K525" s="25">
        <f t="shared" si="1203"/>
        <v>0</v>
      </c>
      <c r="L525" s="25">
        <f t="shared" si="1203"/>
        <v>0</v>
      </c>
      <c r="M525" s="25">
        <f t="shared" ref="M525" si="1204">+M874</f>
        <v>0</v>
      </c>
    </row>
    <row r="526" spans="1:13" ht="15" customHeight="1">
      <c r="A526" s="10" t="str">
        <f t="shared" si="1168"/>
        <v>F8</v>
      </c>
      <c r="B526" s="25">
        <f t="shared" si="1169"/>
        <v>0</v>
      </c>
      <c r="C526" s="25">
        <f t="shared" ref="C526:D526" si="1205">+C875</f>
        <v>0</v>
      </c>
      <c r="D526" s="25">
        <f t="shared" si="1205"/>
        <v>0</v>
      </c>
      <c r="E526" s="25">
        <f t="shared" ref="E526:F526" si="1206">+E875</f>
        <v>0</v>
      </c>
      <c r="F526" s="25">
        <f t="shared" si="1206"/>
        <v>0</v>
      </c>
      <c r="G526" s="25">
        <f t="shared" ref="G526:H526" si="1207">+G875</f>
        <v>0</v>
      </c>
      <c r="H526" s="25">
        <f t="shared" si="1207"/>
        <v>0</v>
      </c>
      <c r="I526" s="25">
        <f t="shared" ref="I526:L526" si="1208">+I875</f>
        <v>0</v>
      </c>
      <c r="J526" s="25">
        <f t="shared" si="1208"/>
        <v>0</v>
      </c>
      <c r="K526" s="25">
        <f t="shared" si="1208"/>
        <v>0</v>
      </c>
      <c r="L526" s="25">
        <f t="shared" si="1208"/>
        <v>0</v>
      </c>
      <c r="M526" s="25">
        <f t="shared" ref="M526" si="1209">+M875</f>
        <v>0</v>
      </c>
    </row>
    <row r="527" spans="1:13" ht="15" customHeight="1">
      <c r="A527" s="10" t="str">
        <f t="shared" si="1168"/>
        <v>F9</v>
      </c>
      <c r="B527" s="25">
        <f t="shared" si="1169"/>
        <v>0</v>
      </c>
      <c r="C527" s="25">
        <f t="shared" ref="C527:D527" si="1210">+C876</f>
        <v>0</v>
      </c>
      <c r="D527" s="25">
        <f t="shared" si="1210"/>
        <v>0</v>
      </c>
      <c r="E527" s="25">
        <f t="shared" ref="E527:F527" si="1211">+E876</f>
        <v>0</v>
      </c>
      <c r="F527" s="25">
        <f t="shared" si="1211"/>
        <v>0</v>
      </c>
      <c r="G527" s="25">
        <f t="shared" ref="G527:H527" si="1212">+G876</f>
        <v>0</v>
      </c>
      <c r="H527" s="25">
        <f t="shared" si="1212"/>
        <v>0</v>
      </c>
      <c r="I527" s="25">
        <f t="shared" ref="I527:L527" si="1213">+I876</f>
        <v>0</v>
      </c>
      <c r="J527" s="25">
        <f t="shared" si="1213"/>
        <v>0</v>
      </c>
      <c r="K527" s="25">
        <f t="shared" si="1213"/>
        <v>0</v>
      </c>
      <c r="L527" s="25">
        <f t="shared" si="1213"/>
        <v>0</v>
      </c>
      <c r="M527" s="25">
        <f t="shared" ref="M527" si="1214">+M876</f>
        <v>0</v>
      </c>
    </row>
    <row r="528" spans="1:13" ht="15" customHeight="1">
      <c r="A528" s="10" t="str">
        <f t="shared" si="1168"/>
        <v>F10</v>
      </c>
      <c r="B528" s="25">
        <f t="shared" si="1169"/>
        <v>0</v>
      </c>
      <c r="C528" s="25">
        <f t="shared" ref="C528:D528" si="1215">+C877</f>
        <v>0</v>
      </c>
      <c r="D528" s="25">
        <f t="shared" si="1215"/>
        <v>0</v>
      </c>
      <c r="E528" s="25">
        <f t="shared" ref="E528:F528" si="1216">+E877</f>
        <v>0</v>
      </c>
      <c r="F528" s="25">
        <f t="shared" si="1216"/>
        <v>0</v>
      </c>
      <c r="G528" s="25">
        <f t="shared" ref="G528:H528" si="1217">+G877</f>
        <v>0</v>
      </c>
      <c r="H528" s="25">
        <f t="shared" si="1217"/>
        <v>0</v>
      </c>
      <c r="I528" s="25">
        <f t="shared" ref="I528:L528" si="1218">+I877</f>
        <v>0</v>
      </c>
      <c r="J528" s="25">
        <f t="shared" si="1218"/>
        <v>0</v>
      </c>
      <c r="K528" s="25">
        <f t="shared" si="1218"/>
        <v>0</v>
      </c>
      <c r="L528" s="25">
        <f t="shared" si="1218"/>
        <v>0</v>
      </c>
      <c r="M528" s="25">
        <f t="shared" ref="M528" si="1219">+M877</f>
        <v>0</v>
      </c>
    </row>
    <row r="529" spans="1:13" ht="15" customHeight="1">
      <c r="A529" s="31"/>
      <c r="B529" s="31"/>
      <c r="C529" s="31"/>
      <c r="D529" s="31"/>
      <c r="E529" s="31"/>
      <c r="F529" s="31"/>
      <c r="G529" s="31"/>
      <c r="H529" s="31"/>
      <c r="I529" s="31"/>
      <c r="J529" s="31"/>
      <c r="K529" s="31"/>
      <c r="L529" s="31"/>
      <c r="M529" s="31"/>
    </row>
    <row r="530" spans="1:13" ht="15" customHeight="1">
      <c r="A530" s="10" t="s">
        <v>57</v>
      </c>
      <c r="B530" s="32">
        <f t="shared" ref="B530:I530" si="1220">+SUM(B531:B540)</f>
        <v>212164</v>
      </c>
      <c r="C530" s="32">
        <f t="shared" si="1220"/>
        <v>199800</v>
      </c>
      <c r="D530" s="32">
        <f t="shared" si="1220"/>
        <v>182795</v>
      </c>
      <c r="E530" s="32">
        <f t="shared" si="1220"/>
        <v>178144</v>
      </c>
      <c r="F530" s="32">
        <f t="shared" si="1220"/>
        <v>176035</v>
      </c>
      <c r="G530" s="32">
        <f t="shared" si="1220"/>
        <v>173992</v>
      </c>
      <c r="H530" s="32">
        <f t="shared" si="1220"/>
        <v>170910</v>
      </c>
      <c r="I530" s="32">
        <f t="shared" si="1220"/>
        <v>169404</v>
      </c>
      <c r="J530" s="32">
        <f t="shared" ref="J530:M530" si="1221">+SUM(J531:J540)</f>
        <v>169104</v>
      </c>
      <c r="K530" s="32">
        <f t="shared" si="1221"/>
        <v>164687</v>
      </c>
      <c r="L530" s="32">
        <f t="shared" si="1221"/>
        <v>156508</v>
      </c>
      <c r="M530" s="32">
        <f t="shared" si="1221"/>
        <v>148812</v>
      </c>
    </row>
    <row r="531" spans="1:13" ht="15" customHeight="1">
      <c r="A531" s="3" t="str">
        <f t="shared" ref="A531:A540" si="1222">A519</f>
        <v>F1</v>
      </c>
      <c r="B531" s="15">
        <f t="shared" ref="B531:B540" si="1223">+B880</f>
        <v>212164</v>
      </c>
      <c r="C531" s="15">
        <f t="shared" ref="C531:D531" si="1224">+C880</f>
        <v>199800</v>
      </c>
      <c r="D531" s="15">
        <f t="shared" si="1224"/>
        <v>182795</v>
      </c>
      <c r="E531" s="15">
        <f t="shared" ref="E531:F531" si="1225">+E880</f>
        <v>178144</v>
      </c>
      <c r="F531" s="15">
        <f t="shared" si="1225"/>
        <v>176035</v>
      </c>
      <c r="G531" s="15">
        <f t="shared" ref="G531:H531" si="1226">+G880</f>
        <v>173992</v>
      </c>
      <c r="H531" s="15">
        <f t="shared" si="1226"/>
        <v>170910</v>
      </c>
      <c r="I531" s="15">
        <f t="shared" ref="I531:L531" si="1227">+I880</f>
        <v>169404</v>
      </c>
      <c r="J531" s="15">
        <f t="shared" si="1227"/>
        <v>169104</v>
      </c>
      <c r="K531" s="15">
        <f t="shared" si="1227"/>
        <v>164687</v>
      </c>
      <c r="L531" s="15">
        <f t="shared" si="1227"/>
        <v>156508</v>
      </c>
      <c r="M531" s="15">
        <f t="shared" ref="M531" si="1228">+M880</f>
        <v>148812</v>
      </c>
    </row>
    <row r="532" spans="1:13" ht="15" customHeight="1">
      <c r="A532" s="3" t="str">
        <f t="shared" si="1222"/>
        <v>F2</v>
      </c>
      <c r="B532" s="15">
        <f t="shared" si="1223"/>
        <v>0</v>
      </c>
      <c r="C532" s="15">
        <f t="shared" ref="C532:D532" si="1229">+C881</f>
        <v>0</v>
      </c>
      <c r="D532" s="15">
        <f t="shared" si="1229"/>
        <v>0</v>
      </c>
      <c r="E532" s="15">
        <f t="shared" ref="E532:F532" si="1230">+E881</f>
        <v>0</v>
      </c>
      <c r="F532" s="15">
        <f t="shared" si="1230"/>
        <v>0</v>
      </c>
      <c r="G532" s="15">
        <f t="shared" ref="G532:H532" si="1231">+G881</f>
        <v>0</v>
      </c>
      <c r="H532" s="15">
        <f t="shared" si="1231"/>
        <v>0</v>
      </c>
      <c r="I532" s="15">
        <f t="shared" ref="I532:L532" si="1232">+I881</f>
        <v>0</v>
      </c>
      <c r="J532" s="15">
        <f t="shared" si="1232"/>
        <v>0</v>
      </c>
      <c r="K532" s="15">
        <f t="shared" si="1232"/>
        <v>0</v>
      </c>
      <c r="L532" s="15">
        <f t="shared" si="1232"/>
        <v>0</v>
      </c>
      <c r="M532" s="15">
        <f t="shared" ref="M532" si="1233">+M881</f>
        <v>0</v>
      </c>
    </row>
    <row r="533" spans="1:13" ht="15" customHeight="1">
      <c r="A533" s="3" t="str">
        <f t="shared" si="1222"/>
        <v>F3</v>
      </c>
      <c r="B533" s="15">
        <f t="shared" si="1223"/>
        <v>0</v>
      </c>
      <c r="C533" s="15">
        <f t="shared" ref="C533:D533" si="1234">+C882</f>
        <v>0</v>
      </c>
      <c r="D533" s="15">
        <f t="shared" si="1234"/>
        <v>0</v>
      </c>
      <c r="E533" s="15">
        <f t="shared" ref="E533:F533" si="1235">+E882</f>
        <v>0</v>
      </c>
      <c r="F533" s="15">
        <f t="shared" si="1235"/>
        <v>0</v>
      </c>
      <c r="G533" s="15">
        <f t="shared" ref="G533:H533" si="1236">+G882</f>
        <v>0</v>
      </c>
      <c r="H533" s="15">
        <f t="shared" si="1236"/>
        <v>0</v>
      </c>
      <c r="I533" s="15">
        <f t="shared" ref="I533:L533" si="1237">+I882</f>
        <v>0</v>
      </c>
      <c r="J533" s="15">
        <f t="shared" si="1237"/>
        <v>0</v>
      </c>
      <c r="K533" s="15">
        <f t="shared" si="1237"/>
        <v>0</v>
      </c>
      <c r="L533" s="15">
        <f t="shared" si="1237"/>
        <v>0</v>
      </c>
      <c r="M533" s="15">
        <f t="shared" ref="M533" si="1238">+M882</f>
        <v>0</v>
      </c>
    </row>
    <row r="534" spans="1:13" ht="15" customHeight="1">
      <c r="A534" s="3" t="str">
        <f t="shared" si="1222"/>
        <v>F4</v>
      </c>
      <c r="B534" s="15">
        <f t="shared" si="1223"/>
        <v>0</v>
      </c>
      <c r="C534" s="15">
        <f t="shared" ref="C534:D534" si="1239">+C883</f>
        <v>0</v>
      </c>
      <c r="D534" s="15">
        <f t="shared" si="1239"/>
        <v>0</v>
      </c>
      <c r="E534" s="15">
        <f t="shared" ref="E534:F534" si="1240">+E883</f>
        <v>0</v>
      </c>
      <c r="F534" s="15">
        <f t="shared" si="1240"/>
        <v>0</v>
      </c>
      <c r="G534" s="15">
        <f t="shared" ref="G534:H534" si="1241">+G883</f>
        <v>0</v>
      </c>
      <c r="H534" s="15">
        <f t="shared" si="1241"/>
        <v>0</v>
      </c>
      <c r="I534" s="15">
        <f t="shared" ref="I534:L534" si="1242">+I883</f>
        <v>0</v>
      </c>
      <c r="J534" s="15">
        <f t="shared" si="1242"/>
        <v>0</v>
      </c>
      <c r="K534" s="15">
        <f t="shared" si="1242"/>
        <v>0</v>
      </c>
      <c r="L534" s="15">
        <f t="shared" si="1242"/>
        <v>0</v>
      </c>
      <c r="M534" s="15">
        <f t="shared" ref="M534" si="1243">+M883</f>
        <v>0</v>
      </c>
    </row>
    <row r="535" spans="1:13" ht="15" customHeight="1">
      <c r="A535" s="3" t="str">
        <f t="shared" si="1222"/>
        <v>F5</v>
      </c>
      <c r="B535" s="15">
        <f t="shared" si="1223"/>
        <v>0</v>
      </c>
      <c r="C535" s="15">
        <f t="shared" ref="C535:D535" si="1244">+C884</f>
        <v>0</v>
      </c>
      <c r="D535" s="15">
        <f t="shared" si="1244"/>
        <v>0</v>
      </c>
      <c r="E535" s="15">
        <f t="shared" ref="E535:F535" si="1245">+E884</f>
        <v>0</v>
      </c>
      <c r="F535" s="15">
        <f t="shared" si="1245"/>
        <v>0</v>
      </c>
      <c r="G535" s="15">
        <f t="shared" ref="G535:H535" si="1246">+G884</f>
        <v>0</v>
      </c>
      <c r="H535" s="15">
        <f t="shared" si="1246"/>
        <v>0</v>
      </c>
      <c r="I535" s="15">
        <f t="shared" ref="I535:L535" si="1247">+I884</f>
        <v>0</v>
      </c>
      <c r="J535" s="15">
        <f t="shared" si="1247"/>
        <v>0</v>
      </c>
      <c r="K535" s="15">
        <f t="shared" si="1247"/>
        <v>0</v>
      </c>
      <c r="L535" s="15">
        <f t="shared" si="1247"/>
        <v>0</v>
      </c>
      <c r="M535" s="15">
        <f t="shared" ref="M535" si="1248">+M884</f>
        <v>0</v>
      </c>
    </row>
    <row r="536" spans="1:13" ht="15" customHeight="1">
      <c r="A536" s="3" t="str">
        <f t="shared" si="1222"/>
        <v>F6</v>
      </c>
      <c r="B536" s="15">
        <f t="shared" si="1223"/>
        <v>0</v>
      </c>
      <c r="C536" s="15">
        <f t="shared" ref="C536:D536" si="1249">+C885</f>
        <v>0</v>
      </c>
      <c r="D536" s="15">
        <f t="shared" si="1249"/>
        <v>0</v>
      </c>
      <c r="E536" s="15">
        <f t="shared" ref="E536:F536" si="1250">+E885</f>
        <v>0</v>
      </c>
      <c r="F536" s="15">
        <f t="shared" si="1250"/>
        <v>0</v>
      </c>
      <c r="G536" s="15">
        <f t="shared" ref="G536:H536" si="1251">+G885</f>
        <v>0</v>
      </c>
      <c r="H536" s="15">
        <f t="shared" si="1251"/>
        <v>0</v>
      </c>
      <c r="I536" s="15">
        <f t="shared" ref="I536:L536" si="1252">+I885</f>
        <v>0</v>
      </c>
      <c r="J536" s="15">
        <f t="shared" si="1252"/>
        <v>0</v>
      </c>
      <c r="K536" s="15">
        <f t="shared" si="1252"/>
        <v>0</v>
      </c>
      <c r="L536" s="15">
        <f t="shared" si="1252"/>
        <v>0</v>
      </c>
      <c r="M536" s="15">
        <f t="shared" ref="M536" si="1253">+M885</f>
        <v>0</v>
      </c>
    </row>
    <row r="537" spans="1:13" ht="15" customHeight="1">
      <c r="A537" s="3" t="str">
        <f t="shared" si="1222"/>
        <v>F7</v>
      </c>
      <c r="B537" s="15">
        <f t="shared" si="1223"/>
        <v>0</v>
      </c>
      <c r="C537" s="15">
        <f t="shared" ref="C537:D537" si="1254">+C886</f>
        <v>0</v>
      </c>
      <c r="D537" s="15">
        <f t="shared" si="1254"/>
        <v>0</v>
      </c>
      <c r="E537" s="15">
        <f t="shared" ref="E537:F537" si="1255">+E886</f>
        <v>0</v>
      </c>
      <c r="F537" s="15">
        <f t="shared" si="1255"/>
        <v>0</v>
      </c>
      <c r="G537" s="15">
        <f t="shared" ref="G537:H537" si="1256">+G886</f>
        <v>0</v>
      </c>
      <c r="H537" s="15">
        <f t="shared" si="1256"/>
        <v>0</v>
      </c>
      <c r="I537" s="15">
        <f t="shared" ref="I537:L537" si="1257">+I886</f>
        <v>0</v>
      </c>
      <c r="J537" s="15">
        <f t="shared" si="1257"/>
        <v>0</v>
      </c>
      <c r="K537" s="15">
        <f t="shared" si="1257"/>
        <v>0</v>
      </c>
      <c r="L537" s="15">
        <f t="shared" si="1257"/>
        <v>0</v>
      </c>
      <c r="M537" s="15">
        <f t="shared" ref="M537" si="1258">+M886</f>
        <v>0</v>
      </c>
    </row>
    <row r="538" spans="1:13" ht="15" customHeight="1">
      <c r="A538" s="3" t="str">
        <f t="shared" si="1222"/>
        <v>F8</v>
      </c>
      <c r="B538" s="15">
        <f t="shared" si="1223"/>
        <v>0</v>
      </c>
      <c r="C538" s="15">
        <f t="shared" ref="C538:D538" si="1259">+C887</f>
        <v>0</v>
      </c>
      <c r="D538" s="15">
        <f t="shared" si="1259"/>
        <v>0</v>
      </c>
      <c r="E538" s="15">
        <f t="shared" ref="E538:F538" si="1260">+E887</f>
        <v>0</v>
      </c>
      <c r="F538" s="15">
        <f t="shared" si="1260"/>
        <v>0</v>
      </c>
      <c r="G538" s="15">
        <f t="shared" ref="G538:H538" si="1261">+G887</f>
        <v>0</v>
      </c>
      <c r="H538" s="15">
        <f t="shared" si="1261"/>
        <v>0</v>
      </c>
      <c r="I538" s="15">
        <f t="shared" ref="I538:L538" si="1262">+I887</f>
        <v>0</v>
      </c>
      <c r="J538" s="15">
        <f t="shared" si="1262"/>
        <v>0</v>
      </c>
      <c r="K538" s="15">
        <f t="shared" si="1262"/>
        <v>0</v>
      </c>
      <c r="L538" s="15">
        <f t="shared" si="1262"/>
        <v>0</v>
      </c>
      <c r="M538" s="15">
        <f t="shared" ref="M538" si="1263">+M887</f>
        <v>0</v>
      </c>
    </row>
    <row r="539" spans="1:13" ht="15" customHeight="1">
      <c r="A539" s="3" t="str">
        <f t="shared" si="1222"/>
        <v>F9</v>
      </c>
      <c r="B539" s="15">
        <f t="shared" si="1223"/>
        <v>0</v>
      </c>
      <c r="C539" s="15">
        <f t="shared" ref="C539:D539" si="1264">+C888</f>
        <v>0</v>
      </c>
      <c r="D539" s="15">
        <f t="shared" si="1264"/>
        <v>0</v>
      </c>
      <c r="E539" s="15">
        <f t="shared" ref="E539:F539" si="1265">+E888</f>
        <v>0</v>
      </c>
      <c r="F539" s="15">
        <f t="shared" si="1265"/>
        <v>0</v>
      </c>
      <c r="G539" s="15">
        <f t="shared" ref="G539:H539" si="1266">+G888</f>
        <v>0</v>
      </c>
      <c r="H539" s="15">
        <f t="shared" si="1266"/>
        <v>0</v>
      </c>
      <c r="I539" s="15">
        <f t="shared" ref="I539:L539" si="1267">+I888</f>
        <v>0</v>
      </c>
      <c r="J539" s="15">
        <f t="shared" si="1267"/>
        <v>0</v>
      </c>
      <c r="K539" s="15">
        <f t="shared" si="1267"/>
        <v>0</v>
      </c>
      <c r="L539" s="15">
        <f t="shared" si="1267"/>
        <v>0</v>
      </c>
      <c r="M539" s="15">
        <f t="shared" ref="M539" si="1268">+M888</f>
        <v>0</v>
      </c>
    </row>
    <row r="540" spans="1:13" ht="15" customHeight="1">
      <c r="A540" s="3" t="str">
        <f t="shared" si="1222"/>
        <v>F10</v>
      </c>
      <c r="B540" s="15">
        <f t="shared" si="1223"/>
        <v>0</v>
      </c>
      <c r="C540" s="15">
        <f t="shared" ref="C540:D540" si="1269">+C889</f>
        <v>0</v>
      </c>
      <c r="D540" s="15">
        <f t="shared" si="1269"/>
        <v>0</v>
      </c>
      <c r="E540" s="15">
        <f t="shared" ref="E540:F540" si="1270">+E889</f>
        <v>0</v>
      </c>
      <c r="F540" s="15">
        <f t="shared" si="1270"/>
        <v>0</v>
      </c>
      <c r="G540" s="15">
        <f t="shared" ref="G540:H540" si="1271">+G889</f>
        <v>0</v>
      </c>
      <c r="H540" s="15">
        <f t="shared" si="1271"/>
        <v>0</v>
      </c>
      <c r="I540" s="15">
        <f t="shared" ref="I540:L540" si="1272">+I889</f>
        <v>0</v>
      </c>
      <c r="J540" s="15">
        <f t="shared" si="1272"/>
        <v>0</v>
      </c>
      <c r="K540" s="15">
        <f t="shared" si="1272"/>
        <v>0</v>
      </c>
      <c r="L540" s="15">
        <f t="shared" si="1272"/>
        <v>0</v>
      </c>
      <c r="M540" s="15">
        <f t="shared" ref="M540" si="1273">+M889</f>
        <v>0</v>
      </c>
    </row>
    <row r="541" spans="1:13" ht="15" customHeight="1">
      <c r="A541" s="104"/>
      <c r="B541" s="50"/>
      <c r="C541" s="50"/>
      <c r="D541" s="50"/>
      <c r="E541" s="50"/>
      <c r="F541" s="50"/>
      <c r="G541" s="50"/>
      <c r="H541" s="50"/>
      <c r="I541" s="50"/>
      <c r="J541" s="50"/>
      <c r="K541" s="50"/>
      <c r="L541" s="50"/>
      <c r="M541" s="50"/>
    </row>
    <row r="542" spans="1:13" ht="15" customHeight="1">
      <c r="A542" s="23" t="s">
        <v>310</v>
      </c>
      <c r="B542" s="26"/>
      <c r="C542" s="26"/>
      <c r="D542" s="26"/>
      <c r="E542" s="26"/>
      <c r="F542" s="26"/>
      <c r="G542" s="26"/>
      <c r="H542" s="26"/>
      <c r="I542" s="26"/>
      <c r="J542" s="26"/>
      <c r="K542" s="26"/>
      <c r="L542" s="26"/>
      <c r="M542" s="26"/>
    </row>
    <row r="543" spans="1:13" ht="15" customHeight="1">
      <c r="A543" s="104" t="s">
        <v>309</v>
      </c>
      <c r="B543" s="36">
        <f t="shared" ref="B543:I543" si="1274">IF(B637=0,0,B636/B637)</f>
        <v>0</v>
      </c>
      <c r="C543" s="36">
        <f t="shared" si="1274"/>
        <v>0</v>
      </c>
      <c r="D543" s="36">
        <f t="shared" si="1274"/>
        <v>0</v>
      </c>
      <c r="E543" s="36">
        <f t="shared" si="1274"/>
        <v>0</v>
      </c>
      <c r="F543" s="36">
        <f t="shared" si="1274"/>
        <v>0</v>
      </c>
      <c r="G543" s="36">
        <f t="shared" si="1274"/>
        <v>0</v>
      </c>
      <c r="H543" s="36">
        <f t="shared" si="1274"/>
        <v>0</v>
      </c>
      <c r="I543" s="36">
        <f t="shared" si="1274"/>
        <v>0</v>
      </c>
      <c r="J543" s="36">
        <f t="shared" ref="J543:M543" si="1275">IF(J637=0,0,J636/J637)</f>
        <v>0</v>
      </c>
      <c r="K543" s="36">
        <f t="shared" si="1275"/>
        <v>0</v>
      </c>
      <c r="L543" s="36">
        <f t="shared" si="1275"/>
        <v>0</v>
      </c>
      <c r="M543" s="36">
        <f t="shared" si="1275"/>
        <v>0</v>
      </c>
    </row>
    <row r="544" spans="1:13" ht="15" customHeight="1">
      <c r="A544" s="104"/>
      <c r="B544" s="50"/>
      <c r="C544" s="50"/>
      <c r="D544" s="50"/>
      <c r="E544" s="50"/>
      <c r="F544" s="50"/>
      <c r="G544" s="50"/>
      <c r="H544" s="50"/>
      <c r="I544" s="50"/>
      <c r="J544" s="50"/>
      <c r="K544" s="50"/>
      <c r="L544" s="50"/>
      <c r="M544" s="50"/>
    </row>
    <row r="545" spans="1:13" ht="15" customHeight="1">
      <c r="A545" s="23" t="s">
        <v>107</v>
      </c>
      <c r="B545" s="26"/>
      <c r="C545" s="26"/>
      <c r="D545" s="26"/>
      <c r="E545" s="26"/>
      <c r="F545" s="26"/>
      <c r="G545" s="26"/>
      <c r="H545" s="26"/>
      <c r="I545" s="26"/>
      <c r="J545" s="26"/>
      <c r="K545" s="26"/>
      <c r="L545" s="26"/>
      <c r="M545" s="26"/>
    </row>
    <row r="546" spans="1:13" ht="15" customHeight="1">
      <c r="A546" s="104" t="s">
        <v>130</v>
      </c>
      <c r="B546" s="38">
        <f t="shared" ref="B546:I546" ca="1" si="1276">B548*(1-B547)</f>
        <v>1.8880000000000001E-2</v>
      </c>
      <c r="C546" s="38">
        <f t="shared" ca="1" si="1276"/>
        <v>1.9199999999999998E-2</v>
      </c>
      <c r="D546" s="38">
        <f t="shared" ca="1" si="1276"/>
        <v>2.2272E-2</v>
      </c>
      <c r="E546" s="38">
        <f t="shared" ca="1" si="1276"/>
        <v>2.232E-2</v>
      </c>
      <c r="F546" s="38">
        <f t="shared" ca="1" si="1276"/>
        <v>2.2939999999999999E-2</v>
      </c>
      <c r="G546" s="38">
        <f t="shared" ca="1" si="1276"/>
        <v>2.3063999999999998E-2</v>
      </c>
      <c r="H546" s="38">
        <f t="shared" ca="1" si="1276"/>
        <v>2.5047999999999997E-2</v>
      </c>
      <c r="I546" s="38">
        <f t="shared" ca="1" si="1276"/>
        <v>2.4799999999999999E-2</v>
      </c>
      <c r="J546" s="38">
        <f t="shared" ref="J546:M546" ca="1" si="1277">J548*(1-J547)</f>
        <v>1.7050000000000003E-2</v>
      </c>
      <c r="K546" s="38">
        <f t="shared" ca="1" si="1277"/>
        <v>1.6926E-2</v>
      </c>
      <c r="L546" s="38">
        <f t="shared" ca="1" si="1277"/>
        <v>1.7359999999999997E-2</v>
      </c>
      <c r="M546" s="38">
        <f t="shared" ca="1" si="1277"/>
        <v>1.7355000000000002E-2</v>
      </c>
    </row>
    <row r="547" spans="1:13" ht="15" customHeight="1">
      <c r="A547" s="103" t="s">
        <v>24</v>
      </c>
      <c r="B547" s="42">
        <f t="shared" ref="B547:I547" si="1278">B818</f>
        <v>0.36</v>
      </c>
      <c r="C547" s="42">
        <f t="shared" si="1278"/>
        <v>0.36</v>
      </c>
      <c r="D547" s="42">
        <f t="shared" si="1278"/>
        <v>0.36</v>
      </c>
      <c r="E547" s="42">
        <f t="shared" si="1278"/>
        <v>0.38</v>
      </c>
      <c r="F547" s="42">
        <f t="shared" si="1278"/>
        <v>0.38</v>
      </c>
      <c r="G547" s="42">
        <f t="shared" si="1278"/>
        <v>0.38</v>
      </c>
      <c r="H547" s="42">
        <f t="shared" si="1278"/>
        <v>0.38</v>
      </c>
      <c r="I547" s="42">
        <f t="shared" si="1278"/>
        <v>0.38</v>
      </c>
      <c r="J547" s="42">
        <f t="shared" ref="J547:M547" si="1279">J818</f>
        <v>0.38</v>
      </c>
      <c r="K547" s="42">
        <f t="shared" si="1279"/>
        <v>0.38</v>
      </c>
      <c r="L547" s="42">
        <f t="shared" si="1279"/>
        <v>0.38</v>
      </c>
      <c r="M547" s="42">
        <f t="shared" si="1279"/>
        <v>0.35</v>
      </c>
    </row>
    <row r="548" spans="1:13" ht="15" customHeight="1">
      <c r="A548" s="102" t="s">
        <v>304</v>
      </c>
      <c r="B548" s="38">
        <f t="shared" ref="B548:I548" ca="1" si="1280">IF(B$9="Yes",B564,B893)</f>
        <v>2.9499999999999998E-2</v>
      </c>
      <c r="C548" s="38">
        <f t="shared" ca="1" si="1280"/>
        <v>0.03</v>
      </c>
      <c r="D548" s="38">
        <f t="shared" ca="1" si="1280"/>
        <v>3.4799999999999998E-2</v>
      </c>
      <c r="E548" s="38">
        <f t="shared" ca="1" si="1280"/>
        <v>3.5999999999999997E-2</v>
      </c>
      <c r="F548" s="38">
        <f t="shared" ca="1" si="1280"/>
        <v>3.6999999999999998E-2</v>
      </c>
      <c r="G548" s="38">
        <f t="shared" ca="1" si="1280"/>
        <v>3.7199999999999997E-2</v>
      </c>
      <c r="H548" s="38">
        <f t="shared" ca="1" si="1280"/>
        <v>4.0399999999999998E-2</v>
      </c>
      <c r="I548" s="38">
        <f t="shared" ca="1" si="1280"/>
        <v>0.04</v>
      </c>
      <c r="J548" s="38">
        <f t="shared" ref="J548:M548" ca="1" si="1281">IF(J$9="Yes",J564,J893)</f>
        <v>2.7500000000000004E-2</v>
      </c>
      <c r="K548" s="38">
        <f t="shared" ca="1" si="1281"/>
        <v>2.7299999999999998E-2</v>
      </c>
      <c r="L548" s="38">
        <f t="shared" ca="1" si="1281"/>
        <v>2.7999999999999997E-2</v>
      </c>
      <c r="M548" s="38">
        <f t="shared" ca="1" si="1281"/>
        <v>2.6700000000000002E-2</v>
      </c>
    </row>
    <row r="549" spans="1:13" ht="15" customHeight="1">
      <c r="A549" s="104"/>
      <c r="B549" s="50"/>
      <c r="C549" s="50"/>
      <c r="D549" s="50"/>
      <c r="E549" s="50"/>
      <c r="F549" s="50"/>
      <c r="G549" s="50"/>
      <c r="H549" s="50"/>
      <c r="I549" s="50"/>
      <c r="J549" s="50"/>
      <c r="K549" s="50"/>
      <c r="L549" s="50"/>
      <c r="M549" s="50"/>
    </row>
    <row r="550" spans="1:13" ht="15" customHeight="1">
      <c r="A550" s="3" t="s">
        <v>418</v>
      </c>
      <c r="B550" s="56">
        <f t="shared" ref="B550:I550" si="1282">+B558+B563+B564</f>
        <v>2.9499999999999998E-2</v>
      </c>
      <c r="C550" s="56">
        <f t="shared" si="1282"/>
        <v>0.03</v>
      </c>
      <c r="D550" s="56">
        <f t="shared" si="1282"/>
        <v>3.4799999999999998E-2</v>
      </c>
      <c r="E550" s="56">
        <f t="shared" si="1282"/>
        <v>3.5999999999999997E-2</v>
      </c>
      <c r="F550" s="56">
        <f t="shared" si="1282"/>
        <v>3.6999999999999998E-2</v>
      </c>
      <c r="G550" s="56">
        <f t="shared" si="1282"/>
        <v>3.7199999999999997E-2</v>
      </c>
      <c r="H550" s="56">
        <f t="shared" si="1282"/>
        <v>4.0399999999999998E-2</v>
      </c>
      <c r="I550" s="56">
        <f t="shared" si="1282"/>
        <v>0.04</v>
      </c>
      <c r="J550" s="56">
        <f t="shared" ref="J550:M550" si="1283">+J558+J563+J564</f>
        <v>2.7500000000000004E-2</v>
      </c>
      <c r="K550" s="56">
        <f t="shared" si="1283"/>
        <v>2.7299999999999998E-2</v>
      </c>
      <c r="L550" s="56">
        <f t="shared" si="1283"/>
        <v>2.7999999999999997E-2</v>
      </c>
      <c r="M550" s="56">
        <f t="shared" si="1283"/>
        <v>2.6700000000000002E-2</v>
      </c>
    </row>
    <row r="551" spans="1:13" ht="15" customHeight="1">
      <c r="A551" s="3" t="s">
        <v>419</v>
      </c>
      <c r="B551" s="56">
        <f t="shared" ref="B551:I551" ca="1" si="1284">+B557+B563+B564</f>
        <v>2.7E-2</v>
      </c>
      <c r="C551" s="56">
        <f t="shared" ca="1" si="1284"/>
        <v>2.75E-2</v>
      </c>
      <c r="D551" s="56">
        <f t="shared" ca="1" si="1284"/>
        <v>3.2299999999999995E-2</v>
      </c>
      <c r="E551" s="56">
        <f t="shared" ca="1" si="1284"/>
        <v>3.3500000000000002E-2</v>
      </c>
      <c r="F551" s="56">
        <f t="shared" ca="1" si="1284"/>
        <v>3.4500000000000003E-2</v>
      </c>
      <c r="G551" s="56">
        <f t="shared" ca="1" si="1284"/>
        <v>3.4699999999999995E-2</v>
      </c>
      <c r="H551" s="56">
        <f t="shared" ca="1" si="1284"/>
        <v>3.7900000000000003E-2</v>
      </c>
      <c r="I551" s="56">
        <f t="shared" ca="1" si="1284"/>
        <v>3.7499999999999999E-2</v>
      </c>
      <c r="J551" s="56">
        <f t="shared" ref="J551:M551" ca="1" si="1285">+J557+J563+J564</f>
        <v>2.5000000000000001E-2</v>
      </c>
      <c r="K551" s="56">
        <f t="shared" ca="1" si="1285"/>
        <v>2.4799999999999999E-2</v>
      </c>
      <c r="L551" s="56">
        <f t="shared" ca="1" si="1285"/>
        <v>2.5499999999999998E-2</v>
      </c>
      <c r="M551" s="56">
        <f t="shared" ca="1" si="1285"/>
        <v>2.4199999999999999E-2</v>
      </c>
    </row>
    <row r="552" spans="1:13" ht="15" customHeight="1">
      <c r="A552" s="104"/>
      <c r="B552" s="50"/>
      <c r="C552" s="50"/>
      <c r="D552" s="50"/>
      <c r="E552" s="50"/>
      <c r="F552" s="50"/>
      <c r="G552" s="50"/>
      <c r="H552" s="50"/>
      <c r="I552" s="50"/>
      <c r="J552" s="50"/>
      <c r="K552" s="50"/>
      <c r="L552" s="50"/>
      <c r="M552" s="50"/>
    </row>
    <row r="553" spans="1:13" ht="15" customHeight="1">
      <c r="A553" s="102" t="s">
        <v>104</v>
      </c>
      <c r="B553" s="57">
        <f t="shared" ref="B553:I553" ca="1" si="1286">IF(B554=0,#N/A,IF(B555&lt;0,-100000,B555/B554))</f>
        <v>100.43568124105063</v>
      </c>
      <c r="C553" s="57">
        <f t="shared" ca="1" si="1286"/>
        <v>105.69224542020905</v>
      </c>
      <c r="D553" s="57">
        <f t="shared" ca="1" si="1286"/>
        <v>98.734823628166822</v>
      </c>
      <c r="E553" s="57">
        <f t="shared" ca="1" si="1286"/>
        <v>103.56083064730724</v>
      </c>
      <c r="F553" s="57">
        <f t="shared" ca="1" si="1286"/>
        <v>111.12957286059886</v>
      </c>
      <c r="G553" s="57">
        <f t="shared" ca="1" si="1286"/>
        <v>133.69140575455259</v>
      </c>
      <c r="H553" s="57">
        <f t="shared" ca="1" si="1286"/>
        <v>165.93726330618196</v>
      </c>
      <c r="I553" s="57">
        <f t="shared" ca="1" si="1286"/>
        <v>244.82923612403957</v>
      </c>
      <c r="J553" s="57">
        <f t="shared" ref="J553:M553" ca="1" si="1287">IF(J554=0,#N/A,IF(J555&lt;0,-100000,J555/J554))</f>
        <v>33.573562648436983</v>
      </c>
      <c r="K553" s="57">
        <f t="shared" ca="1" si="1287"/>
        <v>516.77967857557735</v>
      </c>
      <c r="L553" s="57">
        <f t="shared" ca="1" si="1287"/>
        <v>506.59980449371727</v>
      </c>
      <c r="M553" s="57">
        <f t="shared" ca="1" si="1287"/>
        <v>744.14918411106123</v>
      </c>
    </row>
    <row r="554" spans="1:13" ht="15" customHeight="1">
      <c r="A554" s="102" t="s">
        <v>486</v>
      </c>
      <c r="B554" s="39">
        <f t="shared" ref="B554:I554" ca="1" si="1288">+B668+IF(B672="No",0,B678*B676)+IF(B642="No",0,B548*B646)</f>
        <v>638.60593674848326</v>
      </c>
      <c r="C554" s="39">
        <f t="shared" ca="1" si="1288"/>
        <v>562.52908534596827</v>
      </c>
      <c r="D554" s="39">
        <f t="shared" ca="1" si="1288"/>
        <v>533.57793138921465</v>
      </c>
      <c r="E554" s="39">
        <f t="shared" ca="1" si="1288"/>
        <v>497.3718005326316</v>
      </c>
      <c r="F554" s="39">
        <f t="shared" ca="1" si="1288"/>
        <v>453.78862204040536</v>
      </c>
      <c r="G554" s="39">
        <f t="shared" ca="1" si="1288"/>
        <v>369.46843104211905</v>
      </c>
      <c r="H554" s="39">
        <f t="shared" ca="1" si="1288"/>
        <v>296.18647760612589</v>
      </c>
      <c r="I554" s="39">
        <f t="shared" ca="1" si="1288"/>
        <v>203.97312338999225</v>
      </c>
      <c r="J554" s="39">
        <f t="shared" ref="J554:M554" ca="1" si="1289">+J668+IF(J672="No",0,J678*J676)+IF(J642="No",0,J548*J646)</f>
        <v>1557.3305258358548</v>
      </c>
      <c r="K554" s="39">
        <f t="shared" ca="1" si="1289"/>
        <v>106.64256385691117</v>
      </c>
      <c r="L554" s="39">
        <f t="shared" ca="1" si="1289"/>
        <v>109.04503186149962</v>
      </c>
      <c r="M554" s="39">
        <f t="shared" ca="1" si="1289"/>
        <v>71.287238896156339</v>
      </c>
    </row>
    <row r="555" spans="1:13" ht="15" customHeight="1">
      <c r="A555" s="102" t="s">
        <v>485</v>
      </c>
      <c r="B555" s="39">
        <f t="shared" ref="B555:I555" ca="1" si="1290">B819+IF(B642="No",0,B644)</f>
        <v>64138.822301913206</v>
      </c>
      <c r="C555" s="39">
        <f t="shared" ca="1" si="1290"/>
        <v>59454.9621443918</v>
      </c>
      <c r="D555" s="39">
        <f t="shared" ca="1" si="1290"/>
        <v>52682.722947596209</v>
      </c>
      <c r="E555" s="39">
        <f t="shared" ca="1" si="1290"/>
        <v>51508.236803706139</v>
      </c>
      <c r="F555" s="39">
        <f t="shared" ca="1" si="1290"/>
        <v>50429.335736349982</v>
      </c>
      <c r="G555" s="39">
        <f t="shared" ca="1" si="1290"/>
        <v>49394.753927949867</v>
      </c>
      <c r="H555" s="39">
        <f t="shared" ca="1" si="1290"/>
        <v>49148.373522258276</v>
      </c>
      <c r="I555" s="39">
        <f t="shared" ca="1" si="1290"/>
        <v>49938.583989406274</v>
      </c>
      <c r="J555" s="39">
        <f t="shared" ref="J555:M555" ca="1" si="1291">J819+IF(J642="No",0,J644)</f>
        <v>52285.133973473385</v>
      </c>
      <c r="K555" s="39">
        <f t="shared" ca="1" si="1291"/>
        <v>55110.709872450039</v>
      </c>
      <c r="L555" s="39">
        <f t="shared" ca="1" si="1291"/>
        <v>55242.19182204688</v>
      </c>
      <c r="M555" s="39">
        <f t="shared" ca="1" si="1291"/>
        <v>53048.340662105053</v>
      </c>
    </row>
    <row r="557" spans="1:13" ht="15" customHeight="1">
      <c r="A557" s="102" t="s">
        <v>323</v>
      </c>
      <c r="B557" s="97">
        <f t="shared" ref="B557:I558" ca="1" si="1292">B896</f>
        <v>7.4999999999999997E-3</v>
      </c>
      <c r="C557" s="97">
        <f t="shared" ca="1" si="1292"/>
        <v>7.4999999999999997E-3</v>
      </c>
      <c r="D557" s="97">
        <f t="shared" ca="1" si="1292"/>
        <v>7.4999999999999997E-3</v>
      </c>
      <c r="E557" s="97">
        <f t="shared" ca="1" si="1292"/>
        <v>7.4999999999999997E-3</v>
      </c>
      <c r="F557" s="97">
        <f t="shared" ca="1" si="1292"/>
        <v>7.4999999999999997E-3</v>
      </c>
      <c r="G557" s="97">
        <f t="shared" ca="1" si="1292"/>
        <v>7.4999999999999997E-3</v>
      </c>
      <c r="H557" s="97">
        <f t="shared" ca="1" si="1292"/>
        <v>7.4999999999999997E-3</v>
      </c>
      <c r="I557" s="97">
        <f t="shared" ca="1" si="1292"/>
        <v>7.4999999999999997E-3</v>
      </c>
      <c r="J557" s="97">
        <f t="shared" ref="J557:M557" ca="1" si="1293">J896</f>
        <v>7.4999999999999997E-3</v>
      </c>
      <c r="K557" s="97">
        <f t="shared" ca="1" si="1293"/>
        <v>7.4999999999999997E-3</v>
      </c>
      <c r="L557" s="97">
        <f t="shared" ca="1" si="1293"/>
        <v>7.4999999999999997E-3</v>
      </c>
      <c r="M557" s="97">
        <f t="shared" ca="1" si="1293"/>
        <v>7.4999999999999997E-3</v>
      </c>
    </row>
    <row r="558" spans="1:13" ht="15" customHeight="1">
      <c r="A558" s="104" t="s">
        <v>140</v>
      </c>
      <c r="B558" s="97">
        <f t="shared" si="1292"/>
        <v>0.01</v>
      </c>
      <c r="C558" s="97">
        <f t="shared" si="1292"/>
        <v>0.01</v>
      </c>
      <c r="D558" s="97">
        <f t="shared" si="1292"/>
        <v>0.01</v>
      </c>
      <c r="E558" s="97">
        <f t="shared" si="1292"/>
        <v>0.01</v>
      </c>
      <c r="F558" s="97">
        <f t="shared" si="1292"/>
        <v>0.01</v>
      </c>
      <c r="G558" s="97">
        <f t="shared" si="1292"/>
        <v>0.01</v>
      </c>
      <c r="H558" s="97">
        <f t="shared" si="1292"/>
        <v>0.01</v>
      </c>
      <c r="I558" s="97">
        <f t="shared" si="1292"/>
        <v>0.01</v>
      </c>
      <c r="J558" s="97">
        <f t="shared" ref="J558:M558" si="1294">J897</f>
        <v>0.01</v>
      </c>
      <c r="K558" s="97">
        <f t="shared" si="1294"/>
        <v>0.01</v>
      </c>
      <c r="L558" s="97">
        <f t="shared" si="1294"/>
        <v>0.01</v>
      </c>
      <c r="M558" s="97">
        <f t="shared" si="1294"/>
        <v>0.01</v>
      </c>
    </row>
    <row r="560" spans="1:13" ht="15" customHeight="1">
      <c r="A560" s="102" t="s">
        <v>142</v>
      </c>
      <c r="B560" s="113" t="str">
        <f t="shared" ref="B560:I560" ca="1" si="1295">B899</f>
        <v>Aaa/AAA</v>
      </c>
      <c r="C560" s="113" t="str">
        <f t="shared" ca="1" si="1295"/>
        <v>Aaa/AAA</v>
      </c>
      <c r="D560" s="113" t="str">
        <f t="shared" ca="1" si="1295"/>
        <v>Aaa/AAA</v>
      </c>
      <c r="E560" s="113" t="str">
        <f t="shared" ca="1" si="1295"/>
        <v>Aaa/AAA</v>
      </c>
      <c r="F560" s="113" t="str">
        <f t="shared" ca="1" si="1295"/>
        <v>Aaa/AAA</v>
      </c>
      <c r="G560" s="113" t="str">
        <f t="shared" ca="1" si="1295"/>
        <v>Aaa/AAA</v>
      </c>
      <c r="H560" s="113" t="str">
        <f t="shared" ca="1" si="1295"/>
        <v>Aaa/AAA</v>
      </c>
      <c r="I560" s="113" t="str">
        <f t="shared" ca="1" si="1295"/>
        <v>Aaa/AAA</v>
      </c>
      <c r="J560" s="113" t="str">
        <f t="shared" ref="J560:M560" ca="1" si="1296">J899</f>
        <v>Aaa/AAA</v>
      </c>
      <c r="K560" s="113" t="str">
        <f t="shared" ca="1" si="1296"/>
        <v>Aaa/AAA</v>
      </c>
      <c r="L560" s="113" t="str">
        <f t="shared" ca="1" si="1296"/>
        <v>Aaa/AAA</v>
      </c>
      <c r="M560" s="113" t="str">
        <f t="shared" ca="1" si="1296"/>
        <v>Aaa/AAA</v>
      </c>
    </row>
    <row r="561" spans="1:13" ht="15" customHeight="1">
      <c r="A561" s="104" t="s">
        <v>417</v>
      </c>
      <c r="B561" s="113" t="str">
        <f t="shared" ref="B561:I561" si="1297">B901</f>
        <v>A2/A</v>
      </c>
      <c r="C561" s="113" t="str">
        <f t="shared" si="1297"/>
        <v>A2/A</v>
      </c>
      <c r="D561" s="113" t="str">
        <f t="shared" si="1297"/>
        <v>A2/A</v>
      </c>
      <c r="E561" s="113" t="str">
        <f t="shared" si="1297"/>
        <v>A2/A</v>
      </c>
      <c r="F561" s="113" t="str">
        <f t="shared" si="1297"/>
        <v>A2/A</v>
      </c>
      <c r="G561" s="113" t="str">
        <f t="shared" si="1297"/>
        <v>A2/A</v>
      </c>
      <c r="H561" s="113" t="str">
        <f t="shared" si="1297"/>
        <v>A2/A</v>
      </c>
      <c r="I561" s="113" t="str">
        <f t="shared" si="1297"/>
        <v>A2/A</v>
      </c>
      <c r="J561" s="113" t="str">
        <f t="shared" ref="J561:M561" si="1298">J901</f>
        <v>A2/A</v>
      </c>
      <c r="K561" s="113" t="str">
        <f t="shared" si="1298"/>
        <v>A2/A</v>
      </c>
      <c r="L561" s="113" t="str">
        <f t="shared" si="1298"/>
        <v>A2/A</v>
      </c>
      <c r="M561" s="113" t="str">
        <f t="shared" si="1298"/>
        <v>A2/A</v>
      </c>
    </row>
    <row r="562" spans="1:13" ht="15" customHeight="1">
      <c r="A562" s="104"/>
      <c r="B562" s="50"/>
      <c r="C562" s="50"/>
      <c r="D562" s="50"/>
      <c r="E562" s="50"/>
      <c r="F562" s="50"/>
      <c r="G562" s="50"/>
      <c r="H562" s="50"/>
      <c r="I562" s="50"/>
      <c r="J562" s="50"/>
      <c r="K562" s="50"/>
      <c r="L562" s="50"/>
      <c r="M562" s="50"/>
    </row>
    <row r="563" spans="1:13" ht="15" customHeight="1">
      <c r="A563" s="102" t="s">
        <v>106</v>
      </c>
      <c r="B563" s="112">
        <f t="shared" ref="B563:I563" si="1299">B894</f>
        <v>0</v>
      </c>
      <c r="C563" s="112">
        <f t="shared" si="1299"/>
        <v>0</v>
      </c>
      <c r="D563" s="112">
        <f t="shared" si="1299"/>
        <v>0</v>
      </c>
      <c r="E563" s="112">
        <f t="shared" si="1299"/>
        <v>0</v>
      </c>
      <c r="F563" s="112">
        <f t="shared" si="1299"/>
        <v>0</v>
      </c>
      <c r="G563" s="112">
        <f t="shared" si="1299"/>
        <v>0</v>
      </c>
      <c r="H563" s="112">
        <f t="shared" si="1299"/>
        <v>0</v>
      </c>
      <c r="I563" s="112">
        <f t="shared" si="1299"/>
        <v>0</v>
      </c>
      <c r="J563" s="112">
        <f t="shared" ref="J563:M563" si="1300">J894</f>
        <v>0</v>
      </c>
      <c r="K563" s="112">
        <f t="shared" si="1300"/>
        <v>0</v>
      </c>
      <c r="L563" s="112">
        <f t="shared" si="1300"/>
        <v>0</v>
      </c>
      <c r="M563" s="112">
        <f t="shared" si="1300"/>
        <v>0</v>
      </c>
    </row>
    <row r="564" spans="1:13" ht="15" customHeight="1">
      <c r="A564" s="102" t="s">
        <v>105</v>
      </c>
      <c r="B564" s="38">
        <f t="shared" ref="B564:I564" si="1301">B903</f>
        <v>1.95E-2</v>
      </c>
      <c r="C564" s="38">
        <f t="shared" si="1301"/>
        <v>0.02</v>
      </c>
      <c r="D564" s="38">
        <f t="shared" si="1301"/>
        <v>2.4799999999999999E-2</v>
      </c>
      <c r="E564" s="38">
        <f t="shared" si="1301"/>
        <v>2.5999999999999999E-2</v>
      </c>
      <c r="F564" s="38">
        <f t="shared" si="1301"/>
        <v>2.7E-2</v>
      </c>
      <c r="G564" s="38">
        <f t="shared" si="1301"/>
        <v>2.7199999999999998E-2</v>
      </c>
      <c r="H564" s="38">
        <f t="shared" si="1301"/>
        <v>3.04E-2</v>
      </c>
      <c r="I564" s="38">
        <f t="shared" si="1301"/>
        <v>0.03</v>
      </c>
      <c r="J564" s="38">
        <f t="shared" ref="J564:M564" si="1302">J903</f>
        <v>1.7500000000000002E-2</v>
      </c>
      <c r="K564" s="38">
        <f t="shared" si="1302"/>
        <v>1.7299999999999999E-2</v>
      </c>
      <c r="L564" s="38">
        <f t="shared" si="1302"/>
        <v>1.7999999999999999E-2</v>
      </c>
      <c r="M564" s="38">
        <f t="shared" si="1302"/>
        <v>1.67E-2</v>
      </c>
    </row>
    <row r="565" spans="1:13" ht="15" customHeight="1">
      <c r="A565" s="102"/>
      <c r="B565" s="38"/>
      <c r="C565" s="38"/>
      <c r="D565" s="38"/>
      <c r="E565" s="38"/>
      <c r="F565" s="38"/>
      <c r="G565" s="38"/>
      <c r="H565" s="38"/>
      <c r="I565" s="38"/>
      <c r="J565" s="38"/>
      <c r="K565" s="38"/>
      <c r="L565" s="38"/>
      <c r="M565" s="38"/>
    </row>
    <row r="566" spans="1:13" ht="15" customHeight="1">
      <c r="A566" s="102"/>
      <c r="B566" s="38"/>
      <c r="C566" s="38"/>
      <c r="D566" s="38"/>
      <c r="E566" s="38"/>
      <c r="F566" s="38"/>
      <c r="G566" s="38"/>
      <c r="H566" s="38"/>
      <c r="I566" s="38"/>
      <c r="J566" s="38"/>
      <c r="K566" s="38"/>
      <c r="L566" s="38"/>
      <c r="M566" s="38"/>
    </row>
    <row r="567" spans="1:13" ht="15" customHeight="1">
      <c r="A567" s="23" t="s">
        <v>75</v>
      </c>
      <c r="B567" s="114"/>
      <c r="C567" s="114"/>
      <c r="D567" s="114"/>
      <c r="E567" s="114"/>
      <c r="F567" s="114"/>
      <c r="G567" s="114"/>
      <c r="H567" s="114"/>
      <c r="I567" s="114"/>
      <c r="J567" s="114"/>
      <c r="K567" s="114"/>
      <c r="L567" s="114"/>
      <c r="M567" s="114"/>
    </row>
    <row r="568" spans="1:13" ht="15" customHeight="1">
      <c r="A568" s="102" t="s">
        <v>334</v>
      </c>
      <c r="B568" s="85">
        <f t="shared" ref="B568:I568" ca="1" si="1303">IF(B585=0,#N/A,B570/B585)</f>
        <v>157.64672188938582</v>
      </c>
      <c r="C568" s="85">
        <f t="shared" ca="1" si="1303"/>
        <v>85.666243295784739</v>
      </c>
      <c r="D568" s="85">
        <f t="shared" ca="1" si="1303"/>
        <v>36.468130569132882</v>
      </c>
      <c r="E568" s="85">
        <f t="shared" ca="1" si="1303"/>
        <v>-71.608965935248946</v>
      </c>
      <c r="F568" s="85">
        <f t="shared" ca="1" si="1303"/>
        <v>84.816117278094339</v>
      </c>
      <c r="G568" s="85">
        <f t="shared" ca="1" si="1303"/>
        <v>67.587454271401455</v>
      </c>
      <c r="H568" s="85">
        <f t="shared" ca="1" si="1303"/>
        <v>30.329898618359341</v>
      </c>
      <c r="I568" s="85">
        <f t="shared" ca="1" si="1303"/>
        <v>40.42989340314189</v>
      </c>
      <c r="J568" s="85">
        <f t="shared" ref="J568:M568" ca="1" si="1304">IF(J585=0,#N/A,J570/J585)</f>
        <v>100.74653739794192</v>
      </c>
      <c r="K568" s="85">
        <f t="shared" ca="1" si="1304"/>
        <v>266.02267542655295</v>
      </c>
      <c r="L568" s="85">
        <f t="shared" ca="1" si="1304"/>
        <v>50.589093253146238</v>
      </c>
      <c r="M568" s="85">
        <f t="shared" ca="1" si="1304"/>
        <v>124.01890789014415</v>
      </c>
    </row>
    <row r="569" spans="1:13" ht="15" customHeight="1">
      <c r="A569" s="102"/>
      <c r="B569" s="85"/>
      <c r="C569" s="85"/>
      <c r="D569" s="85"/>
      <c r="E569" s="85"/>
      <c r="F569" s="85"/>
      <c r="G569" s="85"/>
      <c r="H569" s="85"/>
      <c r="I569" s="85"/>
      <c r="J569" s="85"/>
      <c r="K569" s="85"/>
      <c r="L569" s="85"/>
      <c r="M569" s="85"/>
    </row>
    <row r="570" spans="1:13" ht="15" customHeight="1">
      <c r="A570" s="102" t="s">
        <v>328</v>
      </c>
      <c r="B570" s="39">
        <f t="shared" ref="B570:I570" ca="1" si="1305">B575+B576-B571-B572</f>
        <v>562912.55260673619</v>
      </c>
      <c r="C570" s="39">
        <f t="shared" ca="1" si="1305"/>
        <v>613267.74621481216</v>
      </c>
      <c r="D570" s="39">
        <f t="shared" ca="1" si="1305"/>
        <v>473521.04015354102</v>
      </c>
      <c r="E570" s="39">
        <f t="shared" ca="1" si="1305"/>
        <v>428693.836580895</v>
      </c>
      <c r="F570" s="39">
        <f t="shared" ca="1" si="1305"/>
        <v>356177.99958520418</v>
      </c>
      <c r="G570" s="39">
        <f t="shared" ca="1" si="1305"/>
        <v>347674.49967645854</v>
      </c>
      <c r="H570" s="39">
        <f t="shared" ca="1" si="1305"/>
        <v>326892.97287686914</v>
      </c>
      <c r="I570" s="39">
        <f t="shared" ca="1" si="1305"/>
        <v>331951.67369201302</v>
      </c>
      <c r="J570" s="39">
        <f t="shared" ref="J570:M570" ca="1" si="1306">J575+J576-J571-J572</f>
        <v>256322.18273060693</v>
      </c>
      <c r="K570" s="39">
        <f t="shared" ca="1" si="1306"/>
        <v>345329.62687416829</v>
      </c>
      <c r="L570" s="39">
        <f t="shared" ca="1" si="1306"/>
        <v>361669.79629793327</v>
      </c>
      <c r="M570" s="39">
        <f t="shared" ca="1" si="1306"/>
        <v>432904.62161574443</v>
      </c>
    </row>
    <row r="571" spans="1:13" ht="15" customHeight="1">
      <c r="A571" s="102" t="s">
        <v>325</v>
      </c>
      <c r="B571" s="39">
        <f t="shared" ref="B571:M571" si="1307">B$983</f>
        <v>193539</v>
      </c>
      <c r="C571" s="39">
        <f t="shared" si="1307"/>
        <v>177955</v>
      </c>
      <c r="D571" s="39">
        <f t="shared" si="1307"/>
        <v>155239</v>
      </c>
      <c r="E571" s="39">
        <f t="shared" si="1307"/>
        <v>164490</v>
      </c>
      <c r="F571" s="39">
        <f t="shared" si="1307"/>
        <v>150589</v>
      </c>
      <c r="G571" s="39">
        <f t="shared" si="1307"/>
        <v>158842</v>
      </c>
      <c r="H571" s="39">
        <f t="shared" si="1307"/>
        <v>146761</v>
      </c>
      <c r="I571" s="39">
        <f t="shared" si="1307"/>
        <v>146620</v>
      </c>
      <c r="J571" s="39">
        <f t="shared" si="1307"/>
        <v>144687</v>
      </c>
      <c r="K571" s="39">
        <f t="shared" si="1307"/>
        <v>137112</v>
      </c>
      <c r="L571" s="39">
        <f t="shared" si="1307"/>
        <v>121251</v>
      </c>
      <c r="M571" s="39">
        <f t="shared" si="1307"/>
        <v>117221</v>
      </c>
    </row>
    <row r="572" spans="1:13" ht="15" customHeight="1">
      <c r="A572" s="103" t="s">
        <v>436</v>
      </c>
      <c r="B572" s="39">
        <f t="shared" ref="B572:I572" si="1308">B730</f>
        <v>0</v>
      </c>
      <c r="C572" s="39">
        <f t="shared" si="1308"/>
        <v>0</v>
      </c>
      <c r="D572" s="39">
        <f t="shared" si="1308"/>
        <v>0</v>
      </c>
      <c r="E572" s="39">
        <f t="shared" si="1308"/>
        <v>0</v>
      </c>
      <c r="F572" s="39">
        <f t="shared" si="1308"/>
        <v>0</v>
      </c>
      <c r="G572" s="39">
        <f t="shared" si="1308"/>
        <v>0</v>
      </c>
      <c r="H572" s="39">
        <f t="shared" si="1308"/>
        <v>0</v>
      </c>
      <c r="I572" s="39">
        <f t="shared" si="1308"/>
        <v>0</v>
      </c>
      <c r="J572" s="39">
        <f t="shared" ref="J572:M572" si="1309">J730</f>
        <v>0</v>
      </c>
      <c r="K572" s="39">
        <f t="shared" si="1309"/>
        <v>0</v>
      </c>
      <c r="L572" s="39">
        <f t="shared" si="1309"/>
        <v>0</v>
      </c>
      <c r="M572" s="39">
        <f t="shared" si="1309"/>
        <v>0</v>
      </c>
    </row>
    <row r="573" spans="1:13" ht="15" customHeight="1">
      <c r="A573" s="1"/>
    </row>
    <row r="574" spans="1:13" ht="15" customHeight="1">
      <c r="A574" s="102" t="s">
        <v>327</v>
      </c>
      <c r="B574" s="39">
        <f t="shared" ref="B574:I574" ca="1" si="1310">B575+B576</f>
        <v>756451.55260673619</v>
      </c>
      <c r="C574" s="39">
        <f t="shared" ca="1" si="1310"/>
        <v>791222.74621481216</v>
      </c>
      <c r="D574" s="39">
        <f t="shared" ca="1" si="1310"/>
        <v>628760.04015354102</v>
      </c>
      <c r="E574" s="39">
        <f t="shared" ca="1" si="1310"/>
        <v>593183.836580895</v>
      </c>
      <c r="F574" s="39">
        <f t="shared" ca="1" si="1310"/>
        <v>506766.99958520418</v>
      </c>
      <c r="G574" s="39">
        <f t="shared" ca="1" si="1310"/>
        <v>506516.49967645854</v>
      </c>
      <c r="H574" s="39">
        <f t="shared" ca="1" si="1310"/>
        <v>473653.97287686914</v>
      </c>
      <c r="I574" s="39">
        <f t="shared" ca="1" si="1310"/>
        <v>478571.67369201302</v>
      </c>
      <c r="J574" s="39">
        <f t="shared" ref="J574:M574" ca="1" si="1311">J575+J576</f>
        <v>401009.18273060693</v>
      </c>
      <c r="K574" s="39">
        <f t="shared" ca="1" si="1311"/>
        <v>482441.62687416829</v>
      </c>
      <c r="L574" s="39">
        <f t="shared" ca="1" si="1311"/>
        <v>482920.79629793327</v>
      </c>
      <c r="M574" s="39">
        <f t="shared" ca="1" si="1311"/>
        <v>550125.62161574443</v>
      </c>
    </row>
    <row r="575" spans="1:13" ht="15" customHeight="1">
      <c r="A575" s="102" t="s">
        <v>311</v>
      </c>
      <c r="B575" s="39">
        <f t="shared" ref="B575:I575" ca="1" si="1312">B406</f>
        <v>756451.55260673619</v>
      </c>
      <c r="C575" s="39">
        <f t="shared" ca="1" si="1312"/>
        <v>791222.74621481216</v>
      </c>
      <c r="D575" s="39">
        <f t="shared" ca="1" si="1312"/>
        <v>628760.04015354102</v>
      </c>
      <c r="E575" s="39">
        <f t="shared" ca="1" si="1312"/>
        <v>593183.836580895</v>
      </c>
      <c r="F575" s="39">
        <f t="shared" ca="1" si="1312"/>
        <v>506766.99958520418</v>
      </c>
      <c r="G575" s="39">
        <f t="shared" ca="1" si="1312"/>
        <v>506516.49967645854</v>
      </c>
      <c r="H575" s="39">
        <f t="shared" ca="1" si="1312"/>
        <v>473653.97287686914</v>
      </c>
      <c r="I575" s="39">
        <f t="shared" ca="1" si="1312"/>
        <v>478571.67369201302</v>
      </c>
      <c r="J575" s="39">
        <f t="shared" ref="J575:M575" ca="1" si="1313">J406</f>
        <v>401009.18273060693</v>
      </c>
      <c r="K575" s="39">
        <f t="shared" ca="1" si="1313"/>
        <v>482441.62687416829</v>
      </c>
      <c r="L575" s="39">
        <f t="shared" ca="1" si="1313"/>
        <v>482920.79629793327</v>
      </c>
      <c r="M575" s="39">
        <f t="shared" ca="1" si="1313"/>
        <v>550125.62161574443</v>
      </c>
    </row>
    <row r="576" spans="1:13" ht="15" customHeight="1">
      <c r="A576" s="103" t="s">
        <v>326</v>
      </c>
      <c r="B576" s="39">
        <f t="shared" ref="B576:I576" si="1314">B736</f>
        <v>0</v>
      </c>
      <c r="C576" s="39">
        <f t="shared" si="1314"/>
        <v>0</v>
      </c>
      <c r="D576" s="39">
        <f t="shared" si="1314"/>
        <v>0</v>
      </c>
      <c r="E576" s="39">
        <f t="shared" si="1314"/>
        <v>0</v>
      </c>
      <c r="F576" s="39">
        <f t="shared" si="1314"/>
        <v>0</v>
      </c>
      <c r="G576" s="39">
        <f t="shared" si="1314"/>
        <v>0</v>
      </c>
      <c r="H576" s="39">
        <f t="shared" si="1314"/>
        <v>0</v>
      </c>
      <c r="I576" s="39">
        <f t="shared" si="1314"/>
        <v>0</v>
      </c>
      <c r="J576" s="39">
        <f t="shared" ref="J576:M576" si="1315">J736</f>
        <v>0</v>
      </c>
      <c r="K576" s="39">
        <f t="shared" si="1315"/>
        <v>0</v>
      </c>
      <c r="L576" s="39">
        <f t="shared" si="1315"/>
        <v>0</v>
      </c>
      <c r="M576" s="39">
        <f t="shared" si="1315"/>
        <v>0</v>
      </c>
    </row>
    <row r="577" spans="1:13" ht="15" customHeight="1">
      <c r="A577" s="1"/>
    </row>
    <row r="578" spans="1:13" ht="15" customHeight="1">
      <c r="A578" s="23" t="s">
        <v>311</v>
      </c>
      <c r="B578" s="26"/>
      <c r="C578" s="26"/>
      <c r="D578" s="26"/>
      <c r="E578" s="26"/>
      <c r="F578" s="26"/>
      <c r="G578" s="26"/>
      <c r="H578" s="26"/>
      <c r="I578" s="26"/>
      <c r="J578" s="26"/>
      <c r="K578" s="26"/>
      <c r="L578" s="26"/>
      <c r="M578" s="26"/>
    </row>
    <row r="579" spans="1:13" ht="15" customHeight="1">
      <c r="A579" s="102" t="s">
        <v>311</v>
      </c>
      <c r="B579" s="46">
        <f t="shared" ref="B579:I579" ca="1" si="1316">+B580+B581+B582</f>
        <v>756451.55260673619</v>
      </c>
      <c r="C579" s="46">
        <f t="shared" ca="1" si="1316"/>
        <v>791222.74621481216</v>
      </c>
      <c r="D579" s="46">
        <f t="shared" ca="1" si="1316"/>
        <v>628760.04015354102</v>
      </c>
      <c r="E579" s="46">
        <f t="shared" ca="1" si="1316"/>
        <v>593183.836580895</v>
      </c>
      <c r="F579" s="46">
        <f t="shared" ca="1" si="1316"/>
        <v>506766.99958520418</v>
      </c>
      <c r="G579" s="46">
        <f t="shared" ca="1" si="1316"/>
        <v>506516.49967645854</v>
      </c>
      <c r="H579" s="46">
        <f t="shared" ca="1" si="1316"/>
        <v>473653.97287686914</v>
      </c>
      <c r="I579" s="46">
        <f t="shared" ca="1" si="1316"/>
        <v>478571.67369201302</v>
      </c>
      <c r="J579" s="46">
        <f t="shared" ref="J579:M579" ca="1" si="1317">+J580+J581+J582</f>
        <v>401009.18273060693</v>
      </c>
      <c r="K579" s="46">
        <f t="shared" ca="1" si="1317"/>
        <v>482441.62687416829</v>
      </c>
      <c r="L579" s="46">
        <f t="shared" ca="1" si="1317"/>
        <v>482920.79629793327</v>
      </c>
      <c r="M579" s="46">
        <f t="shared" ca="1" si="1317"/>
        <v>550125.62161574443</v>
      </c>
    </row>
    <row r="580" spans="1:13" ht="15" customHeight="1">
      <c r="A580" s="102" t="s">
        <v>356</v>
      </c>
      <c r="B580" s="46">
        <f t="shared" ref="B580:I580" ca="1" si="1318">+B680+B601+B613</f>
        <v>710410.27789810672</v>
      </c>
      <c r="C580" s="46">
        <f t="shared" ca="1" si="1318"/>
        <v>752305.41005055385</v>
      </c>
      <c r="D580" s="46">
        <f t="shared" ca="1" si="1318"/>
        <v>591533.05452659226</v>
      </c>
      <c r="E580" s="46">
        <f t="shared" ca="1" si="1318"/>
        <v>573349.84406837169</v>
      </c>
      <c r="F580" s="46">
        <f t="shared" ca="1" si="1318"/>
        <v>486684.03491313069</v>
      </c>
      <c r="G580" s="46">
        <f t="shared" ca="1" si="1318"/>
        <v>486684.04013434192</v>
      </c>
      <c r="H580" s="46">
        <f t="shared" ca="1" si="1318"/>
        <v>454251.84037289221</v>
      </c>
      <c r="I580" s="46">
        <f t="shared" ca="1" si="1318"/>
        <v>459641.34025906114</v>
      </c>
      <c r="J580" s="46">
        <f t="shared" ref="J580:M580" ca="1" si="1319">+J680+J601+J613</f>
        <v>392984.97442735796</v>
      </c>
      <c r="K580" s="46">
        <f t="shared" ca="1" si="1319"/>
        <v>478535.3058537686</v>
      </c>
      <c r="L580" s="46">
        <f t="shared" ca="1" si="1319"/>
        <v>479026.3308743083</v>
      </c>
      <c r="M580" s="46">
        <f t="shared" ca="1" si="1319"/>
        <v>547455.68757468986</v>
      </c>
    </row>
    <row r="581" spans="1:13" ht="15" customHeight="1">
      <c r="A581" s="102" t="s">
        <v>357</v>
      </c>
      <c r="B581" s="46">
        <f t="shared" ref="B581:I581" si="1320">B634</f>
        <v>0</v>
      </c>
      <c r="C581" s="46">
        <f t="shared" si="1320"/>
        <v>0</v>
      </c>
      <c r="D581" s="46">
        <f t="shared" si="1320"/>
        <v>0</v>
      </c>
      <c r="E581" s="46">
        <f t="shared" si="1320"/>
        <v>0</v>
      </c>
      <c r="F581" s="46">
        <f t="shared" si="1320"/>
        <v>0</v>
      </c>
      <c r="G581" s="46">
        <f t="shared" si="1320"/>
        <v>0</v>
      </c>
      <c r="H581" s="46">
        <f t="shared" si="1320"/>
        <v>0</v>
      </c>
      <c r="I581" s="46">
        <f t="shared" si="1320"/>
        <v>0</v>
      </c>
      <c r="J581" s="46">
        <f t="shared" ref="J581:M581" si="1321">J634</f>
        <v>0</v>
      </c>
      <c r="K581" s="46">
        <f t="shared" si="1321"/>
        <v>0</v>
      </c>
      <c r="L581" s="46">
        <f t="shared" si="1321"/>
        <v>0</v>
      </c>
      <c r="M581" s="46">
        <f t="shared" si="1321"/>
        <v>0</v>
      </c>
    </row>
    <row r="582" spans="1:13" ht="15" customHeight="1">
      <c r="A582" s="102" t="s">
        <v>358</v>
      </c>
      <c r="B582" s="46">
        <f t="shared" ref="B582:I582" ca="1" si="1322">+B663+B675+B646</f>
        <v>46041.274708629433</v>
      </c>
      <c r="C582" s="46">
        <f t="shared" ca="1" si="1322"/>
        <v>38917.336164258282</v>
      </c>
      <c r="D582" s="46">
        <f t="shared" ca="1" si="1322"/>
        <v>37226.98562694875</v>
      </c>
      <c r="E582" s="46">
        <f t="shared" ca="1" si="1322"/>
        <v>19833.992512523291</v>
      </c>
      <c r="F582" s="46">
        <f t="shared" ca="1" si="1322"/>
        <v>20082.964672073518</v>
      </c>
      <c r="G582" s="46">
        <f t="shared" ca="1" si="1322"/>
        <v>19832.45954211659</v>
      </c>
      <c r="H582" s="46">
        <f t="shared" ca="1" si="1322"/>
        <v>19402.132503976922</v>
      </c>
      <c r="I582" s="46">
        <f t="shared" ca="1" si="1322"/>
        <v>18930.333432951898</v>
      </c>
      <c r="J582" s="46">
        <f t="shared" ref="J582:M582" ca="1" si="1323">+J663+J675+J646</f>
        <v>8024.2083032490036</v>
      </c>
      <c r="K582" s="46">
        <f t="shared" ca="1" si="1323"/>
        <v>3906.3210203996769</v>
      </c>
      <c r="L582" s="46">
        <f t="shared" ca="1" si="1323"/>
        <v>3894.4654236249871</v>
      </c>
      <c r="M582" s="46">
        <f t="shared" ca="1" si="1323"/>
        <v>2669.9340410545442</v>
      </c>
    </row>
    <row r="583" spans="1:13" ht="15" customHeight="1">
      <c r="A583" s="104"/>
      <c r="B583" s="50"/>
      <c r="C583" s="50"/>
      <c r="D583" s="50"/>
      <c r="E583" s="50"/>
      <c r="F583" s="50"/>
      <c r="G583" s="50"/>
      <c r="H583" s="50"/>
      <c r="I583" s="50"/>
      <c r="J583" s="50"/>
      <c r="K583" s="50"/>
      <c r="L583" s="50"/>
      <c r="M583" s="50"/>
    </row>
    <row r="584" spans="1:13" ht="15" customHeight="1">
      <c r="A584" s="23" t="s">
        <v>333</v>
      </c>
      <c r="B584" s="26"/>
      <c r="C584" s="26"/>
      <c r="D584" s="26"/>
      <c r="E584" s="26"/>
      <c r="F584" s="26"/>
      <c r="G584" s="26"/>
      <c r="H584" s="26"/>
      <c r="I584" s="26"/>
      <c r="J584" s="26"/>
      <c r="K584" s="26"/>
      <c r="L584" s="26"/>
      <c r="M584" s="26"/>
    </row>
    <row r="585" spans="1:13" ht="15" customHeight="1">
      <c r="A585" s="102" t="s">
        <v>335</v>
      </c>
      <c r="B585" s="46">
        <f t="shared" ref="B585:I585" ca="1" si="1324">+B699+B587+B588-B589-B590-B591+B592</f>
        <v>3570.7215846943436</v>
      </c>
      <c r="C585" s="46">
        <f t="shared" ca="1" si="1324"/>
        <v>7158.8028448655969</v>
      </c>
      <c r="D585" s="46">
        <f t="shared" ca="1" si="1324"/>
        <v>12984.51641923032</v>
      </c>
      <c r="E585" s="46">
        <f t="shared" ca="1" si="1324"/>
        <v>-5986.5944296491216</v>
      </c>
      <c r="F585" s="46">
        <f t="shared" ca="1" si="1324"/>
        <v>4199.4141092001519</v>
      </c>
      <c r="G585" s="46">
        <f t="shared" ca="1" si="1324"/>
        <v>5144.0685764010414</v>
      </c>
      <c r="H585" s="46">
        <f t="shared" ca="1" si="1324"/>
        <v>10777.911821933812</v>
      </c>
      <c r="I585" s="46">
        <f t="shared" ca="1" si="1324"/>
        <v>8210.5503069720289</v>
      </c>
      <c r="J585" s="46">
        <f t="shared" ref="J585:M585" ca="1" si="1325">+J699+J587+J588-J589-J590-J591+J592</f>
        <v>2544.2282122129109</v>
      </c>
      <c r="K585" s="46">
        <f t="shared" ca="1" si="1325"/>
        <v>1298.1210203996743</v>
      </c>
      <c r="L585" s="46">
        <f t="shared" ca="1" si="1325"/>
        <v>7149.1654236249888</v>
      </c>
      <c r="M585" s="46">
        <f t="shared" ca="1" si="1325"/>
        <v>3490.6340410545381</v>
      </c>
    </row>
    <row r="586" spans="1:13" ht="15" customHeight="1">
      <c r="A586" s="121" t="s">
        <v>443</v>
      </c>
      <c r="B586" s="46">
        <f t="shared" ref="B586:I586" si="1326">+B699</f>
        <v>0</v>
      </c>
      <c r="C586" s="46">
        <f t="shared" si="1326"/>
        <v>0</v>
      </c>
      <c r="D586" s="46">
        <f t="shared" si="1326"/>
        <v>0</v>
      </c>
      <c r="E586" s="46">
        <f t="shared" si="1326"/>
        <v>0</v>
      </c>
      <c r="F586" s="46">
        <f t="shared" si="1326"/>
        <v>0</v>
      </c>
      <c r="G586" s="46">
        <f t="shared" si="1326"/>
        <v>0</v>
      </c>
      <c r="H586" s="46">
        <f t="shared" si="1326"/>
        <v>0</v>
      </c>
      <c r="I586" s="46">
        <f t="shared" si="1326"/>
        <v>0</v>
      </c>
      <c r="J586" s="46">
        <f t="shared" ref="J586:M586" si="1327">+J699</f>
        <v>0</v>
      </c>
      <c r="K586" s="46">
        <f t="shared" si="1327"/>
        <v>0</v>
      </c>
      <c r="L586" s="46">
        <f t="shared" si="1327"/>
        <v>0</v>
      </c>
      <c r="M586" s="46">
        <f t="shared" si="1327"/>
        <v>0</v>
      </c>
    </row>
    <row r="587" spans="1:13" ht="15" customHeight="1">
      <c r="A587" s="102" t="s">
        <v>332</v>
      </c>
      <c r="B587" s="46">
        <f t="shared" ref="B587:I587" si="1328">B713</f>
        <v>19839.300000000003</v>
      </c>
      <c r="C587" s="46">
        <f t="shared" si="1328"/>
        <v>20998.5</v>
      </c>
      <c r="D587" s="46">
        <f t="shared" si="1328"/>
        <v>17083.300000000003</v>
      </c>
      <c r="E587" s="46">
        <f t="shared" si="1328"/>
        <v>16565.300000000003</v>
      </c>
      <c r="F587" s="46">
        <f t="shared" si="1328"/>
        <v>13626.1</v>
      </c>
      <c r="G587" s="46">
        <f t="shared" si="1328"/>
        <v>13323.1</v>
      </c>
      <c r="H587" s="46">
        <f t="shared" si="1328"/>
        <v>13064.9</v>
      </c>
      <c r="I587" s="46">
        <f t="shared" si="1328"/>
        <v>10819.222222222223</v>
      </c>
      <c r="J587" s="46">
        <f t="shared" ref="J587:M587" si="1329">J713</f>
        <v>7838.2999999999993</v>
      </c>
      <c r="K587" s="46">
        <f t="shared" si="1329"/>
        <v>7157.7999999999993</v>
      </c>
      <c r="L587" s="46">
        <f t="shared" si="1329"/>
        <v>6295.7</v>
      </c>
      <c r="M587" s="46">
        <f t="shared" si="1329"/>
        <v>6295.7</v>
      </c>
    </row>
    <row r="588" spans="1:13" ht="15" customHeight="1">
      <c r="A588" s="102" t="s">
        <v>331</v>
      </c>
      <c r="B588" s="46">
        <f t="shared" ref="B588:I588" ca="1" si="1330">B646</f>
        <v>4393.421584694348</v>
      </c>
      <c r="C588" s="46">
        <f t="shared" ca="1" si="1330"/>
        <v>4384.3028448656114</v>
      </c>
      <c r="D588" s="46">
        <f t="shared" ca="1" si="1330"/>
        <v>4298.2164192303071</v>
      </c>
      <c r="E588" s="46">
        <f t="shared" ca="1" si="1330"/>
        <v>4038.1055703508791</v>
      </c>
      <c r="F588" s="46">
        <f t="shared" ca="1" si="1330"/>
        <v>4021.3141092001442</v>
      </c>
      <c r="G588" s="46">
        <f t="shared" ca="1" si="1330"/>
        <v>4017.968576401051</v>
      </c>
      <c r="H588" s="46">
        <f t="shared" ca="1" si="1330"/>
        <v>3965.0118219338092</v>
      </c>
      <c r="I588" s="46">
        <f t="shared" ca="1" si="1330"/>
        <v>3699.3280847498063</v>
      </c>
      <c r="J588" s="46">
        <f t="shared" ref="J588:M588" ca="1" si="1331">J646</f>
        <v>3902.9282122129052</v>
      </c>
      <c r="K588" s="46">
        <f t="shared" ca="1" si="1331"/>
        <v>3906.3210203996769</v>
      </c>
      <c r="L588" s="46">
        <f t="shared" ca="1" si="1331"/>
        <v>3894.4654236249871</v>
      </c>
      <c r="M588" s="46">
        <f t="shared" ca="1" si="1331"/>
        <v>2669.9340410545442</v>
      </c>
    </row>
    <row r="589" spans="1:13" ht="15" customHeight="1">
      <c r="A589" s="102" t="s">
        <v>329</v>
      </c>
      <c r="B589" s="46">
        <f t="shared" ref="B589:I589" si="1332">B742</f>
        <v>0</v>
      </c>
      <c r="C589" s="46">
        <f t="shared" si="1332"/>
        <v>0</v>
      </c>
      <c r="D589" s="46">
        <f t="shared" si="1332"/>
        <v>0</v>
      </c>
      <c r="E589" s="46">
        <f t="shared" si="1332"/>
        <v>0</v>
      </c>
      <c r="F589" s="46">
        <f t="shared" si="1332"/>
        <v>0</v>
      </c>
      <c r="G589" s="46">
        <f t="shared" si="1332"/>
        <v>0</v>
      </c>
      <c r="H589" s="46">
        <f t="shared" si="1332"/>
        <v>0</v>
      </c>
      <c r="I589" s="46">
        <f t="shared" si="1332"/>
        <v>0</v>
      </c>
      <c r="J589" s="46">
        <f t="shared" ref="J589:M589" si="1333">J742</f>
        <v>0</v>
      </c>
      <c r="K589" s="46">
        <f t="shared" si="1333"/>
        <v>0</v>
      </c>
      <c r="L589" s="46">
        <f t="shared" si="1333"/>
        <v>0</v>
      </c>
      <c r="M589" s="46">
        <f t="shared" si="1333"/>
        <v>0</v>
      </c>
    </row>
    <row r="590" spans="1:13" ht="15" customHeight="1">
      <c r="A590" s="121" t="s">
        <v>438</v>
      </c>
      <c r="B590" s="46">
        <f t="shared" ref="B590:I590" si="1334">B732</f>
        <v>0</v>
      </c>
      <c r="C590" s="46">
        <f t="shared" si="1334"/>
        <v>0</v>
      </c>
      <c r="D590" s="46">
        <f t="shared" si="1334"/>
        <v>0</v>
      </c>
      <c r="E590" s="46">
        <f t="shared" si="1334"/>
        <v>0</v>
      </c>
      <c r="F590" s="46">
        <f t="shared" si="1334"/>
        <v>0</v>
      </c>
      <c r="G590" s="46">
        <f t="shared" si="1334"/>
        <v>0</v>
      </c>
      <c r="H590" s="46">
        <f t="shared" si="1334"/>
        <v>0</v>
      </c>
      <c r="I590" s="46">
        <f t="shared" si="1334"/>
        <v>0</v>
      </c>
      <c r="J590" s="46">
        <f t="shared" ref="J590:M590" si="1335">J732</f>
        <v>0</v>
      </c>
      <c r="K590" s="46">
        <f t="shared" si="1335"/>
        <v>0</v>
      </c>
      <c r="L590" s="46">
        <f t="shared" si="1335"/>
        <v>0</v>
      </c>
      <c r="M590" s="46">
        <f t="shared" si="1335"/>
        <v>0</v>
      </c>
    </row>
    <row r="591" spans="1:13" ht="15" customHeight="1">
      <c r="A591" s="121" t="s">
        <v>430</v>
      </c>
      <c r="B591" s="46">
        <f t="shared" ref="B591:M591" si="1336">B$983</f>
        <v>193539</v>
      </c>
      <c r="C591" s="46">
        <f t="shared" si="1336"/>
        <v>177955</v>
      </c>
      <c r="D591" s="46">
        <f t="shared" si="1336"/>
        <v>155239</v>
      </c>
      <c r="E591" s="46">
        <f t="shared" si="1336"/>
        <v>164490</v>
      </c>
      <c r="F591" s="46">
        <f t="shared" si="1336"/>
        <v>150589</v>
      </c>
      <c r="G591" s="46">
        <f t="shared" si="1336"/>
        <v>158842</v>
      </c>
      <c r="H591" s="46">
        <f t="shared" si="1336"/>
        <v>146761</v>
      </c>
      <c r="I591" s="46">
        <f t="shared" si="1336"/>
        <v>146620</v>
      </c>
      <c r="J591" s="46">
        <f t="shared" si="1336"/>
        <v>144687</v>
      </c>
      <c r="K591" s="46">
        <f t="shared" si="1336"/>
        <v>137112</v>
      </c>
      <c r="L591" s="46">
        <f t="shared" si="1336"/>
        <v>121251</v>
      </c>
      <c r="M591" s="46">
        <f t="shared" si="1336"/>
        <v>117221</v>
      </c>
    </row>
    <row r="592" spans="1:13" ht="15" customHeight="1">
      <c r="A592" s="105" t="s">
        <v>338</v>
      </c>
      <c r="B592" s="13">
        <f t="shared" ref="B592:I592" si="1337">B595</f>
        <v>172877</v>
      </c>
      <c r="C592" s="13">
        <f t="shared" si="1337"/>
        <v>159731</v>
      </c>
      <c r="D592" s="13">
        <f t="shared" si="1337"/>
        <v>146842</v>
      </c>
      <c r="E592" s="13">
        <f t="shared" si="1337"/>
        <v>137900</v>
      </c>
      <c r="F592" s="13">
        <f t="shared" si="1337"/>
        <v>137141</v>
      </c>
      <c r="G592" s="13">
        <f t="shared" si="1337"/>
        <v>146645</v>
      </c>
      <c r="H592" s="13">
        <f t="shared" si="1337"/>
        <v>140509</v>
      </c>
      <c r="I592" s="13">
        <f t="shared" si="1337"/>
        <v>140312</v>
      </c>
      <c r="J592" s="13">
        <f t="shared" ref="J592:M592" si="1338">J595</f>
        <v>135490</v>
      </c>
      <c r="K592" s="13">
        <f t="shared" si="1338"/>
        <v>127346</v>
      </c>
      <c r="L592" s="13">
        <f t="shared" si="1338"/>
        <v>118210</v>
      </c>
      <c r="M592" s="13">
        <f t="shared" si="1338"/>
        <v>111746</v>
      </c>
    </row>
    <row r="594" spans="1:13" ht="15" customHeight="1">
      <c r="A594" s="23" t="s">
        <v>336</v>
      </c>
      <c r="B594" s="26"/>
      <c r="C594" s="26"/>
      <c r="D594" s="26"/>
      <c r="E594" s="26"/>
      <c r="F594" s="26"/>
      <c r="G594" s="26"/>
      <c r="H594" s="26"/>
      <c r="I594" s="26"/>
      <c r="J594" s="26"/>
      <c r="K594" s="26"/>
      <c r="L594" s="26"/>
      <c r="M594" s="26"/>
    </row>
    <row r="595" spans="1:13" ht="15" customHeight="1">
      <c r="A595" s="102" t="s">
        <v>337</v>
      </c>
      <c r="B595" s="46">
        <f t="shared" ref="B595:I595" si="1339">B598+B597+B596</f>
        <v>172877</v>
      </c>
      <c r="C595" s="46">
        <f t="shared" si="1339"/>
        <v>159731</v>
      </c>
      <c r="D595" s="46">
        <f t="shared" si="1339"/>
        <v>146842</v>
      </c>
      <c r="E595" s="46">
        <f t="shared" si="1339"/>
        <v>137900</v>
      </c>
      <c r="F595" s="46">
        <f t="shared" si="1339"/>
        <v>137141</v>
      </c>
      <c r="G595" s="46">
        <f t="shared" si="1339"/>
        <v>146645</v>
      </c>
      <c r="H595" s="46">
        <f t="shared" si="1339"/>
        <v>140509</v>
      </c>
      <c r="I595" s="46">
        <f t="shared" si="1339"/>
        <v>140312</v>
      </c>
      <c r="J595" s="46">
        <f t="shared" ref="J595:M595" si="1340">J598+J597+J596</f>
        <v>135490</v>
      </c>
      <c r="K595" s="46">
        <f t="shared" si="1340"/>
        <v>127346</v>
      </c>
      <c r="L595" s="46">
        <f t="shared" si="1340"/>
        <v>118210</v>
      </c>
      <c r="M595" s="46">
        <f t="shared" si="1340"/>
        <v>111746</v>
      </c>
    </row>
    <row r="596" spans="1:13" ht="15" customHeight="1">
      <c r="A596" s="102" t="s">
        <v>356</v>
      </c>
      <c r="B596" s="46">
        <f t="shared" ref="B596:I596" si="1341">B609</f>
        <v>129006</v>
      </c>
      <c r="C596" s="46">
        <f t="shared" si="1341"/>
        <v>123328</v>
      </c>
      <c r="D596" s="46">
        <f t="shared" si="1341"/>
        <v>111547</v>
      </c>
      <c r="E596" s="46">
        <f t="shared" si="1341"/>
        <v>120940</v>
      </c>
      <c r="F596" s="46">
        <f t="shared" si="1341"/>
        <v>120179</v>
      </c>
      <c r="G596" s="46">
        <f t="shared" si="1341"/>
        <v>129684</v>
      </c>
      <c r="H596" s="46">
        <f t="shared" si="1341"/>
        <v>123549</v>
      </c>
      <c r="I596" s="46">
        <f t="shared" si="1341"/>
        <v>123354</v>
      </c>
      <c r="J596" s="46">
        <f t="shared" ref="J596:M596" si="1342">J609</f>
        <v>135490</v>
      </c>
      <c r="K596" s="46">
        <f t="shared" si="1342"/>
        <v>127346</v>
      </c>
      <c r="L596" s="46">
        <f t="shared" si="1342"/>
        <v>118210</v>
      </c>
      <c r="M596" s="46">
        <f t="shared" si="1342"/>
        <v>111746</v>
      </c>
    </row>
    <row r="597" spans="1:13" ht="15" customHeight="1">
      <c r="A597" s="102" t="s">
        <v>357</v>
      </c>
      <c r="B597" s="46">
        <f t="shared" ref="B597:I597" si="1343">B639</f>
        <v>0</v>
      </c>
      <c r="C597" s="46">
        <f t="shared" si="1343"/>
        <v>0</v>
      </c>
      <c r="D597" s="46">
        <f t="shared" si="1343"/>
        <v>0</v>
      </c>
      <c r="E597" s="46">
        <f t="shared" si="1343"/>
        <v>0</v>
      </c>
      <c r="F597" s="46">
        <f t="shared" si="1343"/>
        <v>0</v>
      </c>
      <c r="G597" s="46">
        <f t="shared" si="1343"/>
        <v>0</v>
      </c>
      <c r="H597" s="46">
        <f t="shared" si="1343"/>
        <v>0</v>
      </c>
      <c r="I597" s="46">
        <f t="shared" si="1343"/>
        <v>0</v>
      </c>
      <c r="J597" s="46">
        <f t="shared" ref="J597:M597" si="1344">J639</f>
        <v>0</v>
      </c>
      <c r="K597" s="46">
        <f t="shared" si="1344"/>
        <v>0</v>
      </c>
      <c r="L597" s="46">
        <f t="shared" si="1344"/>
        <v>0</v>
      </c>
      <c r="M597" s="46">
        <f t="shared" si="1344"/>
        <v>0</v>
      </c>
    </row>
    <row r="598" spans="1:13" ht="15" customHeight="1">
      <c r="A598" s="102" t="s">
        <v>358</v>
      </c>
      <c r="B598" s="46">
        <f t="shared" ref="B598:I598" si="1345">+B669+B695</f>
        <v>43871</v>
      </c>
      <c r="C598" s="46">
        <f t="shared" si="1345"/>
        <v>36403</v>
      </c>
      <c r="D598" s="46">
        <f t="shared" si="1345"/>
        <v>35295</v>
      </c>
      <c r="E598" s="46">
        <f t="shared" si="1345"/>
        <v>16960</v>
      </c>
      <c r="F598" s="46">
        <f t="shared" si="1345"/>
        <v>16962</v>
      </c>
      <c r="G598" s="46">
        <f t="shared" si="1345"/>
        <v>16961</v>
      </c>
      <c r="H598" s="46">
        <f t="shared" si="1345"/>
        <v>16960</v>
      </c>
      <c r="I598" s="46">
        <f t="shared" si="1345"/>
        <v>16958</v>
      </c>
      <c r="J598" s="46">
        <f t="shared" ref="J598:M598" si="1346">+J669+J695</f>
        <v>0</v>
      </c>
      <c r="K598" s="46">
        <f t="shared" si="1346"/>
        <v>0</v>
      </c>
      <c r="L598" s="46">
        <f t="shared" si="1346"/>
        <v>0</v>
      </c>
      <c r="M598" s="46">
        <f t="shared" si="1346"/>
        <v>0</v>
      </c>
    </row>
    <row r="600" spans="1:13" ht="15" customHeight="1">
      <c r="A600" s="23" t="s">
        <v>89</v>
      </c>
      <c r="B600" s="26"/>
      <c r="C600" s="26"/>
      <c r="D600" s="26"/>
      <c r="E600" s="26"/>
      <c r="F600" s="26"/>
      <c r="G600" s="26"/>
      <c r="H600" s="26"/>
      <c r="I600" s="26"/>
      <c r="J600" s="26"/>
      <c r="K600" s="26"/>
      <c r="L600" s="26"/>
      <c r="M600" s="26"/>
    </row>
    <row r="601" spans="1:13" ht="15" customHeight="1">
      <c r="A601" s="103" t="s">
        <v>421</v>
      </c>
      <c r="B601" s="39">
        <f t="shared" ref="B601:I601" si="1347">+B604*B603</f>
        <v>710166.5</v>
      </c>
      <c r="C601" s="39">
        <f t="shared" si="1347"/>
        <v>751916.97750000004</v>
      </c>
      <c r="D601" s="39">
        <f t="shared" si="1347"/>
        <v>590999.5</v>
      </c>
      <c r="E601" s="39">
        <f t="shared" si="1347"/>
        <v>571200.32500000007</v>
      </c>
      <c r="F601" s="39">
        <f t="shared" si="1347"/>
        <v>486679.69999999995</v>
      </c>
      <c r="G601" s="39">
        <f t="shared" si="1347"/>
        <v>486679.69999999995</v>
      </c>
      <c r="H601" s="39">
        <f t="shared" si="1347"/>
        <v>454250</v>
      </c>
      <c r="I601" s="39">
        <f t="shared" si="1347"/>
        <v>459628.52</v>
      </c>
      <c r="J601" s="39">
        <f t="shared" ref="J601:M601" si="1348">+J604*J603</f>
        <v>392979.71428571432</v>
      </c>
      <c r="K601" s="39">
        <f t="shared" si="1348"/>
        <v>478514.39999999997</v>
      </c>
      <c r="L601" s="39">
        <f t="shared" si="1348"/>
        <v>478996.08</v>
      </c>
      <c r="M601" s="39">
        <f t="shared" si="1348"/>
        <v>547384.2300000001</v>
      </c>
    </row>
    <row r="602" spans="1:13" ht="15" customHeight="1">
      <c r="A602" s="104"/>
      <c r="B602" s="50"/>
      <c r="C602" s="50"/>
      <c r="D602" s="50"/>
      <c r="E602" s="50"/>
      <c r="F602" s="50"/>
      <c r="G602" s="50"/>
      <c r="H602" s="50"/>
      <c r="I602" s="50"/>
      <c r="J602" s="50"/>
      <c r="K602" s="50"/>
      <c r="L602" s="50"/>
      <c r="M602" s="50"/>
    </row>
    <row r="603" spans="1:13" ht="15" customHeight="1">
      <c r="A603" s="103" t="s">
        <v>87</v>
      </c>
      <c r="B603" s="49">
        <f t="shared" ref="B603:I603" si="1349">B908</f>
        <v>5762</v>
      </c>
      <c r="C603" s="49">
        <f t="shared" si="1349"/>
        <v>5824.75</v>
      </c>
      <c r="D603" s="49">
        <f t="shared" si="1349"/>
        <v>5866</v>
      </c>
      <c r="E603" s="49">
        <f t="shared" si="1349"/>
        <v>6012.6350000000002</v>
      </c>
      <c r="F603" s="49">
        <f t="shared" si="1349"/>
        <v>6029.66</v>
      </c>
      <c r="G603" s="49">
        <f t="shared" si="1349"/>
        <v>6029.66</v>
      </c>
      <c r="H603" s="49">
        <f t="shared" si="1349"/>
        <v>6359.5</v>
      </c>
      <c r="I603" s="49">
        <f t="shared" si="1349"/>
        <v>6359</v>
      </c>
      <c r="J603" s="49">
        <f t="shared" ref="J603:M603" si="1350">J908</f>
        <v>6581</v>
      </c>
      <c r="K603" s="49">
        <f t="shared" si="1350"/>
        <v>6573</v>
      </c>
      <c r="L603" s="49">
        <f t="shared" si="1350"/>
        <v>6574.4560000000001</v>
      </c>
      <c r="M603" s="49">
        <f t="shared" si="1350"/>
        <v>6561</v>
      </c>
    </row>
    <row r="604" spans="1:13" ht="15" customHeight="1">
      <c r="A604" s="103" t="s">
        <v>88</v>
      </c>
      <c r="B604" s="47">
        <f t="shared" ref="B604:I604" si="1351">B907</f>
        <v>123.25</v>
      </c>
      <c r="C604" s="47">
        <f t="shared" si="1351"/>
        <v>129.09</v>
      </c>
      <c r="D604" s="47">
        <f t="shared" si="1351"/>
        <v>100.75</v>
      </c>
      <c r="E604" s="47">
        <f t="shared" si="1351"/>
        <v>95</v>
      </c>
      <c r="F604" s="47">
        <f t="shared" si="1351"/>
        <v>80.714285714285708</v>
      </c>
      <c r="G604" s="47">
        <f t="shared" si="1351"/>
        <v>80.714285714285708</v>
      </c>
      <c r="H604" s="47">
        <f t="shared" si="1351"/>
        <v>71.428571428571431</v>
      </c>
      <c r="I604" s="47">
        <f t="shared" si="1351"/>
        <v>72.28</v>
      </c>
      <c r="J604" s="47">
        <f t="shared" ref="J604:M604" si="1352">J907</f>
        <v>59.714285714285715</v>
      </c>
      <c r="K604" s="47">
        <f t="shared" si="1352"/>
        <v>72.8</v>
      </c>
      <c r="L604" s="47">
        <f t="shared" si="1352"/>
        <v>72.857142857142861</v>
      </c>
      <c r="M604" s="47">
        <f t="shared" si="1352"/>
        <v>83.43</v>
      </c>
    </row>
    <row r="605" spans="1:13" ht="15" customHeight="1">
      <c r="A605" s="103"/>
      <c r="B605" s="49"/>
      <c r="C605" s="49"/>
      <c r="D605" s="49"/>
      <c r="E605" s="49"/>
      <c r="F605" s="49"/>
      <c r="G605" s="49"/>
      <c r="H605" s="49"/>
      <c r="I605" s="49"/>
      <c r="J605" s="49"/>
      <c r="K605" s="49"/>
      <c r="L605" s="49"/>
      <c r="M605" s="49"/>
    </row>
    <row r="606" spans="1:13" ht="15" customHeight="1">
      <c r="A606" s="103" t="s">
        <v>32</v>
      </c>
      <c r="B606" s="40">
        <f t="shared" ref="B606:I607" si="1353">B910</f>
        <v>0.2674722594236017</v>
      </c>
      <c r="C606" s="40">
        <f t="shared" si="1353"/>
        <v>0.3</v>
      </c>
      <c r="D606" s="40">
        <f t="shared" si="1353"/>
        <v>0.3</v>
      </c>
      <c r="E606" s="40">
        <f t="shared" si="1353"/>
        <v>0.35</v>
      </c>
      <c r="F606" s="40">
        <f t="shared" si="1353"/>
        <v>0.35</v>
      </c>
      <c r="G606" s="40">
        <f t="shared" si="1353"/>
        <v>0.35</v>
      </c>
      <c r="H606" s="40">
        <f t="shared" si="1353"/>
        <v>0.35</v>
      </c>
      <c r="I606" s="40">
        <f t="shared" si="1353"/>
        <v>0.3</v>
      </c>
      <c r="J606" s="40">
        <f t="shared" ref="J606:M606" si="1354">J910</f>
        <v>0.4</v>
      </c>
      <c r="K606" s="40">
        <f t="shared" si="1354"/>
        <v>0.4</v>
      </c>
      <c r="L606" s="40">
        <f t="shared" si="1354"/>
        <v>0.4</v>
      </c>
      <c r="M606" s="40">
        <f t="shared" si="1354"/>
        <v>0.4</v>
      </c>
    </row>
    <row r="607" spans="1:13" ht="15" customHeight="1">
      <c r="A607" s="103" t="s">
        <v>82</v>
      </c>
      <c r="B607" s="40">
        <f t="shared" si="1353"/>
        <v>0</v>
      </c>
      <c r="C607" s="40">
        <f t="shared" si="1353"/>
        <v>0</v>
      </c>
      <c r="D607" s="40">
        <f t="shared" si="1353"/>
        <v>0</v>
      </c>
      <c r="E607" s="40">
        <f t="shared" si="1353"/>
        <v>0</v>
      </c>
      <c r="F607" s="40">
        <f t="shared" si="1353"/>
        <v>0</v>
      </c>
      <c r="G607" s="40">
        <f t="shared" si="1353"/>
        <v>0</v>
      </c>
      <c r="H607" s="40">
        <f t="shared" si="1353"/>
        <v>0</v>
      </c>
      <c r="I607" s="40">
        <f t="shared" si="1353"/>
        <v>0</v>
      </c>
      <c r="J607" s="40">
        <f t="shared" ref="J607:M607" si="1355">J911</f>
        <v>0</v>
      </c>
      <c r="K607" s="40">
        <f t="shared" si="1355"/>
        <v>0</v>
      </c>
      <c r="L607" s="40">
        <f t="shared" si="1355"/>
        <v>0</v>
      </c>
      <c r="M607" s="40">
        <f t="shared" si="1355"/>
        <v>0</v>
      </c>
    </row>
    <row r="608" spans="1:13" ht="15" customHeight="1">
      <c r="A608" s="103"/>
      <c r="B608" s="49"/>
      <c r="C608" s="49"/>
      <c r="D608" s="49"/>
      <c r="E608" s="49"/>
      <c r="F608" s="49"/>
      <c r="G608" s="49"/>
      <c r="H608" s="49"/>
      <c r="I608" s="49"/>
      <c r="J608" s="49"/>
      <c r="K608" s="49"/>
      <c r="L608" s="49"/>
      <c r="M608" s="49"/>
    </row>
    <row r="609" spans="1:13" ht="15" customHeight="1">
      <c r="A609" s="103" t="s">
        <v>420</v>
      </c>
      <c r="B609" s="41">
        <f t="shared" ref="B609:I609" si="1356">B915</f>
        <v>129006</v>
      </c>
      <c r="C609" s="41">
        <f t="shared" si="1356"/>
        <v>123328</v>
      </c>
      <c r="D609" s="41">
        <f t="shared" si="1356"/>
        <v>111547</v>
      </c>
      <c r="E609" s="41">
        <f t="shared" si="1356"/>
        <v>120940</v>
      </c>
      <c r="F609" s="41">
        <f t="shared" si="1356"/>
        <v>120179</v>
      </c>
      <c r="G609" s="41">
        <f t="shared" si="1356"/>
        <v>129684</v>
      </c>
      <c r="H609" s="41">
        <f t="shared" si="1356"/>
        <v>123549</v>
      </c>
      <c r="I609" s="41">
        <f t="shared" si="1356"/>
        <v>123354</v>
      </c>
      <c r="J609" s="41">
        <f t="shared" ref="J609:M609" si="1357">J915</f>
        <v>135490</v>
      </c>
      <c r="K609" s="41">
        <f t="shared" si="1357"/>
        <v>127346</v>
      </c>
      <c r="L609" s="41">
        <f t="shared" si="1357"/>
        <v>118210</v>
      </c>
      <c r="M609" s="41">
        <f t="shared" si="1357"/>
        <v>111746</v>
      </c>
    </row>
    <row r="610" spans="1:13" ht="15" customHeight="1">
      <c r="A610" s="103"/>
      <c r="B610" s="49"/>
      <c r="C610" s="49"/>
      <c r="D610" s="49"/>
      <c r="E610" s="49"/>
      <c r="F610" s="49"/>
      <c r="G610" s="49"/>
      <c r="H610" s="49"/>
      <c r="I610" s="49"/>
      <c r="J610" s="49"/>
      <c r="K610" s="49"/>
      <c r="L610" s="49"/>
      <c r="M610" s="49"/>
    </row>
    <row r="611" spans="1:13" ht="15" customHeight="1">
      <c r="A611" s="23" t="s">
        <v>81</v>
      </c>
      <c r="B611" s="26"/>
      <c r="C611" s="26"/>
      <c r="D611" s="26"/>
      <c r="E611" s="26"/>
      <c r="F611" s="26"/>
      <c r="G611" s="26"/>
      <c r="H611" s="26"/>
      <c r="I611" s="26"/>
      <c r="J611" s="26"/>
      <c r="K611" s="26"/>
      <c r="L611" s="26"/>
      <c r="M611" s="26"/>
    </row>
    <row r="612" spans="1:13" ht="15" customHeight="1">
      <c r="A612" s="3" t="s">
        <v>29</v>
      </c>
      <c r="B612" s="107" t="str">
        <f t="shared" ref="B612:I612" si="1358">B919</f>
        <v>Yes</v>
      </c>
      <c r="C612" s="107" t="str">
        <f t="shared" si="1358"/>
        <v>Yes</v>
      </c>
      <c r="D612" s="107" t="str">
        <f t="shared" si="1358"/>
        <v>Yes</v>
      </c>
      <c r="E612" s="107" t="str">
        <f t="shared" si="1358"/>
        <v>Yes</v>
      </c>
      <c r="F612" s="107" t="str">
        <f t="shared" si="1358"/>
        <v>Yes</v>
      </c>
      <c r="G612" s="107" t="str">
        <f t="shared" si="1358"/>
        <v>Yes</v>
      </c>
      <c r="H612" s="107" t="str">
        <f t="shared" si="1358"/>
        <v>Yes</v>
      </c>
      <c r="I612" s="107" t="str">
        <f t="shared" si="1358"/>
        <v>Yes</v>
      </c>
      <c r="J612" s="107" t="str">
        <f t="shared" ref="J612:M612" si="1359">J919</f>
        <v>Yes</v>
      </c>
      <c r="K612" s="107" t="str">
        <f t="shared" si="1359"/>
        <v>Yes</v>
      </c>
      <c r="L612" s="107" t="str">
        <f t="shared" si="1359"/>
        <v>Yes</v>
      </c>
      <c r="M612" s="107" t="str">
        <f t="shared" si="1359"/>
        <v>Yes</v>
      </c>
    </row>
    <row r="613" spans="1:13" ht="15" customHeight="1">
      <c r="A613" s="102" t="s">
        <v>76</v>
      </c>
      <c r="B613" s="41">
        <f t="shared" ref="B613:I613" ca="1" si="1360">IF(B612="No",0,B614*B624)</f>
        <v>243.77789810670859</v>
      </c>
      <c r="C613" s="41">
        <f t="shared" ca="1" si="1360"/>
        <v>388.43255055377296</v>
      </c>
      <c r="D613" s="41">
        <f t="shared" ca="1" si="1360"/>
        <v>533.55452659223045</v>
      </c>
      <c r="E613" s="41">
        <f t="shared" ca="1" si="1360"/>
        <v>2149.5190683715878</v>
      </c>
      <c r="F613" s="41">
        <f t="shared" ca="1" si="1360"/>
        <v>4.3349131307109214</v>
      </c>
      <c r="G613" s="41">
        <f t="shared" ca="1" si="1360"/>
        <v>4.3401343419853813</v>
      </c>
      <c r="H613" s="41">
        <f t="shared" ca="1" si="1360"/>
        <v>1.8403728921915363</v>
      </c>
      <c r="I613" s="41">
        <f t="shared" ca="1" si="1360"/>
        <v>12.820259061110194</v>
      </c>
      <c r="J613" s="41">
        <f t="shared" ref="J613:M613" ca="1" si="1361">IF(J612="No",0,J614*J624)</f>
        <v>5.2601416436086463</v>
      </c>
      <c r="K613" s="41">
        <f t="shared" ca="1" si="1361"/>
        <v>20.905853768651159</v>
      </c>
      <c r="L613" s="41">
        <f t="shared" ca="1" si="1361"/>
        <v>30.250874308258872</v>
      </c>
      <c r="M613" s="41">
        <f t="shared" ca="1" si="1361"/>
        <v>71.457574689797127</v>
      </c>
    </row>
    <row r="614" spans="1:13" ht="15" customHeight="1">
      <c r="A614" s="102" t="s">
        <v>84</v>
      </c>
      <c r="B614" s="41">
        <f t="shared" ref="B614:I614" ca="1" si="1362">IF(B612="No",0,B616*B623)</f>
        <v>243.77789810670859</v>
      </c>
      <c r="C614" s="41">
        <f t="shared" ca="1" si="1362"/>
        <v>388.43255055377296</v>
      </c>
      <c r="D614" s="41">
        <f t="shared" ca="1" si="1362"/>
        <v>533.55452659223045</v>
      </c>
      <c r="E614" s="41">
        <f t="shared" ca="1" si="1362"/>
        <v>2149.5190683715878</v>
      </c>
      <c r="F614" s="41">
        <f t="shared" ca="1" si="1362"/>
        <v>4.3349131307109214</v>
      </c>
      <c r="G614" s="41">
        <f t="shared" ca="1" si="1362"/>
        <v>4.3401343419853813</v>
      </c>
      <c r="H614" s="41">
        <f t="shared" ca="1" si="1362"/>
        <v>1.8403728921915363</v>
      </c>
      <c r="I614" s="41">
        <f t="shared" ca="1" si="1362"/>
        <v>12.820259061110194</v>
      </c>
      <c r="J614" s="41">
        <f t="shared" ref="J614:M614" ca="1" si="1363">IF(J612="No",0,J616*J623)</f>
        <v>5.2601416436086463</v>
      </c>
      <c r="K614" s="41">
        <f t="shared" ca="1" si="1363"/>
        <v>20.905853768651159</v>
      </c>
      <c r="L614" s="41">
        <f t="shared" ca="1" si="1363"/>
        <v>30.250874308258872</v>
      </c>
      <c r="M614" s="41">
        <f t="shared" ca="1" si="1363"/>
        <v>71.457574689797127</v>
      </c>
    </row>
    <row r="615" spans="1:13" ht="15" customHeight="1">
      <c r="A615" s="104"/>
      <c r="B615" s="50"/>
      <c r="C615" s="50"/>
      <c r="D615" s="50"/>
      <c r="E615" s="50"/>
      <c r="F615" s="50"/>
      <c r="G615" s="50"/>
      <c r="H615" s="50"/>
      <c r="I615" s="50"/>
      <c r="J615" s="50"/>
      <c r="K615" s="50"/>
      <c r="L615" s="50"/>
      <c r="M615" s="50"/>
    </row>
    <row r="616" spans="1:13" ht="15" customHeight="1">
      <c r="A616" s="102" t="s">
        <v>423</v>
      </c>
      <c r="B616" s="47">
        <f t="shared" ref="B616:I616" ca="1" si="1364">IF(B612="No",0,IF(OR(B618="",B618=0),B617,B618))</f>
        <v>105.99039048117766</v>
      </c>
      <c r="C616" s="47">
        <f t="shared" ca="1" si="1364"/>
        <v>110.98072872964941</v>
      </c>
      <c r="D616" s="47">
        <f t="shared" ca="1" si="1364"/>
        <v>80.841594938216744</v>
      </c>
      <c r="E616" s="47">
        <f t="shared" ca="1" si="1364"/>
        <v>75.411137677925467</v>
      </c>
      <c r="F616" s="47">
        <f t="shared" ca="1" si="1364"/>
        <v>1.0645660930036644</v>
      </c>
      <c r="G616" s="47">
        <f t="shared" ca="1" si="1364"/>
        <v>1.065848315811734</v>
      </c>
      <c r="H616" s="47">
        <f t="shared" ca="1" si="1364"/>
        <v>0.44952928485381927</v>
      </c>
      <c r="I616" s="47">
        <f t="shared" ca="1" si="1364"/>
        <v>1.9708315236141729</v>
      </c>
      <c r="J616" s="47">
        <f t="shared" ref="J616:M616" ca="1" si="1365">IF(J612="No",0,IF(OR(J618="",J618=0),J617,J618))</f>
        <v>1.0038438251161539</v>
      </c>
      <c r="K616" s="47">
        <f t="shared" ca="1" si="1365"/>
        <v>3.5933059072965214</v>
      </c>
      <c r="L616" s="47">
        <f t="shared" ca="1" si="1365"/>
        <v>4.6219823236453585</v>
      </c>
      <c r="M616" s="47">
        <f t="shared" ca="1" si="1365"/>
        <v>8.9613211298968061</v>
      </c>
    </row>
    <row r="617" spans="1:13" ht="15" customHeight="1">
      <c r="A617" s="102" t="s">
        <v>90</v>
      </c>
      <c r="B617" s="47">
        <f t="shared" ref="B617:I617" ca="1" si="1366">IF(B612="No",0,IF(ISERROR(((EXP((0-B629)*B622))*B620*(NORMSDIST(((LN(B620/B621)+((B631-B629)+((B628^2)/2))*B622)/((((B628^2))^(0.5))*(B622^0.5)))))-B621*(EXP((0-B631)*B622))*(NORMSDIST((((LN(B620/B621)+((B631-B629)+((B628^2)/2))*B622)/((((B628^2))^(0.5))*(B622^0.5)))-(((B628^2)^0.5)*(B622^(0.5)))))))),0,((EXP((0-B629)*B622))*B620*(NORMSDIST(((LN(B620/B621)+((B631-B629)+((B628^2)/2))*B622)/((((B628^2))^(0.5))*(B622^0.5)))))-B621*(EXP((0-B631)*B622))*(NORMSDIST((((LN(B620/B621)+((B631-B629)+((B628^2)/2))*B622)/((((B628^2))^(0.5))*(B622^0.5)))-(((B628^2)^0.5)*(B622^(0.5)))))))))</f>
        <v>105.99039048117766</v>
      </c>
      <c r="C617" s="47">
        <f t="shared" ca="1" si="1366"/>
        <v>110.98072872964941</v>
      </c>
      <c r="D617" s="47">
        <f t="shared" ca="1" si="1366"/>
        <v>80.841594938216744</v>
      </c>
      <c r="E617" s="47">
        <f t="shared" ca="1" si="1366"/>
        <v>75.411137677925467</v>
      </c>
      <c r="F617" s="47">
        <f t="shared" ca="1" si="1366"/>
        <v>1.0645660930036644</v>
      </c>
      <c r="G617" s="47">
        <f t="shared" ca="1" si="1366"/>
        <v>1.065848315811734</v>
      </c>
      <c r="H617" s="47">
        <f t="shared" ca="1" si="1366"/>
        <v>0.44952928485381927</v>
      </c>
      <c r="I617" s="47">
        <f t="shared" ca="1" si="1366"/>
        <v>1.9708315236141729</v>
      </c>
      <c r="J617" s="47">
        <f t="shared" ref="J617:M617" ca="1" si="1367">IF(J612="No",0,IF(ISERROR(((EXP((0-J629)*J622))*J620*(NORMSDIST(((LN(J620/J621)+((J631-J629)+((J628^2)/2))*J622)/((((J628^2))^(0.5))*(J622^0.5)))))-J621*(EXP((0-J631)*J622))*(NORMSDIST((((LN(J620/J621)+((J631-J629)+((J628^2)/2))*J622)/((((J628^2))^(0.5))*(J622^0.5)))-(((J628^2)^0.5)*(J622^(0.5)))))))),0,((EXP((0-J629)*J622))*J620*(NORMSDIST(((LN(J620/J621)+((J631-J629)+((J628^2)/2))*J622)/((((J628^2))^(0.5))*(J622^0.5)))))-J621*(EXP((0-J631)*J622))*(NORMSDIST((((LN(J620/J621)+((J631-J629)+((J628^2)/2))*J622)/((((J628^2))^(0.5))*(J622^0.5)))-(((J628^2)^0.5)*(J622^(0.5)))))))))</f>
        <v>1.0038438251161539</v>
      </c>
      <c r="K617" s="47">
        <f t="shared" ca="1" si="1367"/>
        <v>3.5933059072965214</v>
      </c>
      <c r="L617" s="47">
        <f t="shared" ca="1" si="1367"/>
        <v>4.6219823236453585</v>
      </c>
      <c r="M617" s="47">
        <f t="shared" ca="1" si="1367"/>
        <v>8.9613211298968061</v>
      </c>
    </row>
    <row r="618" spans="1:13" ht="15" customHeight="1">
      <c r="A618" s="102" t="s">
        <v>422</v>
      </c>
      <c r="B618" s="54">
        <f t="shared" ref="B618:I618" si="1368">IF(B612="No",0,IF(B920="",0,B920))</f>
        <v>0</v>
      </c>
      <c r="C618" s="54">
        <f t="shared" si="1368"/>
        <v>0</v>
      </c>
      <c r="D618" s="54">
        <f t="shared" si="1368"/>
        <v>0</v>
      </c>
      <c r="E618" s="54">
        <f t="shared" si="1368"/>
        <v>0</v>
      </c>
      <c r="F618" s="54">
        <f t="shared" si="1368"/>
        <v>0</v>
      </c>
      <c r="G618" s="54">
        <f t="shared" si="1368"/>
        <v>0</v>
      </c>
      <c r="H618" s="54">
        <f t="shared" si="1368"/>
        <v>0</v>
      </c>
      <c r="I618" s="54">
        <f t="shared" si="1368"/>
        <v>0</v>
      </c>
      <c r="J618" s="54">
        <f t="shared" ref="J618:M618" si="1369">IF(J612="No",0,IF(J920="",0,J920))</f>
        <v>0</v>
      </c>
      <c r="K618" s="54">
        <f t="shared" si="1369"/>
        <v>0</v>
      </c>
      <c r="L618" s="54">
        <f t="shared" si="1369"/>
        <v>0</v>
      </c>
      <c r="M618" s="54">
        <f t="shared" si="1369"/>
        <v>0</v>
      </c>
    </row>
    <row r="619" spans="1:13" ht="15" customHeight="1">
      <c r="A619" s="104"/>
      <c r="B619" s="50"/>
      <c r="C619" s="50"/>
      <c r="D619" s="50"/>
      <c r="E619" s="50"/>
      <c r="F619" s="50"/>
      <c r="G619" s="50"/>
      <c r="H619" s="50"/>
      <c r="I619" s="50"/>
      <c r="J619" s="50"/>
      <c r="K619" s="50"/>
      <c r="L619" s="50"/>
      <c r="M619" s="50"/>
    </row>
    <row r="620" spans="1:13" ht="15" customHeight="1">
      <c r="A620" s="102" t="s">
        <v>86</v>
      </c>
      <c r="B620" s="116">
        <f t="shared" ref="B620:I620" ca="1" si="1370">IF(B612="No",0,IF(B$9="Yes",B627,IF(B625+B623=0,#N/A,(B627*B625+B616*B623)/(B625+B623))))</f>
        <v>123.24311328315784</v>
      </c>
      <c r="C620" s="116">
        <f t="shared" ca="1" si="1370"/>
        <v>129.0791249604176</v>
      </c>
      <c r="D620" s="116">
        <f t="shared" ca="1" si="1370"/>
        <v>100.72762567288632</v>
      </c>
      <c r="E620" s="116">
        <f t="shared" ca="1" si="1370"/>
        <v>94.907573566569425</v>
      </c>
      <c r="F620" s="116">
        <f t="shared" ca="1" si="1370"/>
        <v>80.660532306229499</v>
      </c>
      <c r="G620" s="116">
        <f t="shared" ca="1" si="1370"/>
        <v>80.660533171566442</v>
      </c>
      <c r="H620" s="116">
        <f t="shared" ca="1" si="1370"/>
        <v>71.382907264808566</v>
      </c>
      <c r="I620" s="116">
        <f t="shared" ca="1" si="1370"/>
        <v>72.20815006178789</v>
      </c>
      <c r="J620" s="116">
        <f t="shared" ref="J620:M620" ca="1" si="1371">IF(J612="No",0,IF(J$9="Yes",J627,IF(J625+J623=0,#N/A,(J627*J625+J616*J623)/(J625+J623))))</f>
        <v>59.66757579853725</v>
      </c>
      <c r="K620" s="116">
        <f t="shared" ca="1" si="1371"/>
        <v>72.738796825473599</v>
      </c>
      <c r="L620" s="116">
        <f t="shared" ca="1" si="1371"/>
        <v>72.789280973260489</v>
      </c>
      <c r="M620" s="116">
        <f t="shared" ca="1" si="1371"/>
        <v>83.339603349730083</v>
      </c>
    </row>
    <row r="621" spans="1:13" ht="15" customHeight="1">
      <c r="A621" s="103" t="s">
        <v>30</v>
      </c>
      <c r="B621" s="54">
        <f t="shared" ref="B621:I621" si="1372">IF(B612="No",0,B921)</f>
        <v>18.149999999999999</v>
      </c>
      <c r="C621" s="54">
        <f t="shared" si="1372"/>
        <v>19.61</v>
      </c>
      <c r="D621" s="54">
        <f t="shared" si="1372"/>
        <v>21.99</v>
      </c>
      <c r="E621" s="54">
        <f t="shared" si="1372"/>
        <v>20.009999999999998</v>
      </c>
      <c r="F621" s="54">
        <f t="shared" si="1372"/>
        <v>140.07</v>
      </c>
      <c r="G621" s="54">
        <f t="shared" si="1372"/>
        <v>140.07</v>
      </c>
      <c r="H621" s="54">
        <f t="shared" si="1372"/>
        <v>139.65</v>
      </c>
      <c r="I621" s="54">
        <f t="shared" si="1372"/>
        <v>127.56</v>
      </c>
      <c r="J621" s="54">
        <f t="shared" ref="J621:M621" si="1373">IF(J612="No",0,J921)</f>
        <v>133.5</v>
      </c>
      <c r="K621" s="54">
        <f t="shared" si="1373"/>
        <v>130.63</v>
      </c>
      <c r="L621" s="54">
        <f t="shared" si="1373"/>
        <v>127.56</v>
      </c>
      <c r="M621" s="54">
        <f t="shared" si="1373"/>
        <v>119.75</v>
      </c>
    </row>
    <row r="622" spans="1:13" ht="15" customHeight="1">
      <c r="A622" s="103" t="s">
        <v>31</v>
      </c>
      <c r="B622" s="117">
        <f t="shared" ref="B622:I622" si="1374">IF(B612="No",0,B922)</f>
        <v>2.6</v>
      </c>
      <c r="C622" s="117">
        <f t="shared" si="1374"/>
        <v>4</v>
      </c>
      <c r="D622" s="117">
        <f t="shared" si="1374"/>
        <v>4</v>
      </c>
      <c r="E622" s="117">
        <f t="shared" si="1374"/>
        <v>1</v>
      </c>
      <c r="F622" s="117">
        <f t="shared" si="1374"/>
        <v>1</v>
      </c>
      <c r="G622" s="117">
        <f t="shared" si="1374"/>
        <v>1</v>
      </c>
      <c r="H622" s="117">
        <f t="shared" si="1374"/>
        <v>1</v>
      </c>
      <c r="I622" s="117">
        <f t="shared" si="1374"/>
        <v>1.9</v>
      </c>
      <c r="J622" s="117">
        <f t="shared" ref="J622:M622" si="1375">IF(J612="No",0,J922)</f>
        <v>1.5</v>
      </c>
      <c r="K622" s="117">
        <f t="shared" si="1375"/>
        <v>1.7</v>
      </c>
      <c r="L622" s="117">
        <f t="shared" si="1375"/>
        <v>1.9</v>
      </c>
      <c r="M622" s="117">
        <f t="shared" si="1375"/>
        <v>1.9</v>
      </c>
    </row>
    <row r="623" spans="1:13" ht="15" customHeight="1">
      <c r="A623" s="103" t="s">
        <v>91</v>
      </c>
      <c r="B623" s="118">
        <f t="shared" ref="B623:I623" si="1376">IF(B612="No",0,B923)</f>
        <v>2.2999999999999998</v>
      </c>
      <c r="C623" s="118">
        <f t="shared" si="1376"/>
        <v>3.5</v>
      </c>
      <c r="D623" s="118">
        <f t="shared" si="1376"/>
        <v>6.6</v>
      </c>
      <c r="E623" s="118">
        <f t="shared" si="1376"/>
        <v>28.504000000000001</v>
      </c>
      <c r="F623" s="118">
        <f t="shared" si="1376"/>
        <v>4.0720000000000001</v>
      </c>
      <c r="G623" s="118">
        <f t="shared" si="1376"/>
        <v>4.0720000000000001</v>
      </c>
      <c r="H623" s="118">
        <f t="shared" si="1376"/>
        <v>4.0940000000000003</v>
      </c>
      <c r="I623" s="118">
        <f t="shared" si="1376"/>
        <v>6.5049999999999999</v>
      </c>
      <c r="J623" s="118">
        <f t="shared" ref="J623:M623" si="1377">IF(J612="No",0,J923)</f>
        <v>5.24</v>
      </c>
      <c r="K623" s="118">
        <f t="shared" si="1377"/>
        <v>5.8179999999999996</v>
      </c>
      <c r="L623" s="118">
        <f t="shared" si="1377"/>
        <v>6.5449999999999999</v>
      </c>
      <c r="M623" s="118">
        <f t="shared" si="1377"/>
        <v>7.9740000000000002</v>
      </c>
    </row>
    <row r="624" spans="1:13" ht="15" customHeight="1">
      <c r="A624" s="102" t="s">
        <v>85</v>
      </c>
      <c r="B624" s="40">
        <f t="shared" ref="B624:I624" si="1378">IF(B612="No",0,B924)</f>
        <v>1</v>
      </c>
      <c r="C624" s="40">
        <f t="shared" si="1378"/>
        <v>1</v>
      </c>
      <c r="D624" s="40">
        <f t="shared" si="1378"/>
        <v>1</v>
      </c>
      <c r="E624" s="40">
        <f t="shared" si="1378"/>
        <v>1</v>
      </c>
      <c r="F624" s="40">
        <f t="shared" si="1378"/>
        <v>1</v>
      </c>
      <c r="G624" s="40">
        <f t="shared" si="1378"/>
        <v>1</v>
      </c>
      <c r="H624" s="40">
        <f t="shared" si="1378"/>
        <v>1</v>
      </c>
      <c r="I624" s="40">
        <f t="shared" si="1378"/>
        <v>1</v>
      </c>
      <c r="J624" s="40">
        <f t="shared" ref="J624:M624" si="1379">IF(J612="No",0,J924)</f>
        <v>1</v>
      </c>
      <c r="K624" s="40">
        <f t="shared" si="1379"/>
        <v>1</v>
      </c>
      <c r="L624" s="40">
        <f t="shared" si="1379"/>
        <v>1</v>
      </c>
      <c r="M624" s="40">
        <f t="shared" si="1379"/>
        <v>1</v>
      </c>
    </row>
    <row r="625" spans="1:13" ht="15" customHeight="1">
      <c r="A625" s="103" t="s">
        <v>87</v>
      </c>
      <c r="B625" s="49">
        <f t="shared" ref="B625:I625" si="1380">IF(B612="No",0,B603)</f>
        <v>5762</v>
      </c>
      <c r="C625" s="49">
        <f t="shared" si="1380"/>
        <v>5824.75</v>
      </c>
      <c r="D625" s="49">
        <f t="shared" si="1380"/>
        <v>5866</v>
      </c>
      <c r="E625" s="49">
        <f t="shared" si="1380"/>
        <v>6012.6350000000002</v>
      </c>
      <c r="F625" s="49">
        <f t="shared" si="1380"/>
        <v>6029.66</v>
      </c>
      <c r="G625" s="49">
        <f t="shared" si="1380"/>
        <v>6029.66</v>
      </c>
      <c r="H625" s="49">
        <f t="shared" si="1380"/>
        <v>6359.5</v>
      </c>
      <c r="I625" s="49">
        <f t="shared" si="1380"/>
        <v>6359</v>
      </c>
      <c r="J625" s="49">
        <f t="shared" ref="J625:M625" si="1381">IF(J612="No",0,J603)</f>
        <v>6581</v>
      </c>
      <c r="K625" s="49">
        <f t="shared" si="1381"/>
        <v>6573</v>
      </c>
      <c r="L625" s="49">
        <f t="shared" si="1381"/>
        <v>6574.4560000000001</v>
      </c>
      <c r="M625" s="49">
        <f t="shared" si="1381"/>
        <v>6561</v>
      </c>
    </row>
    <row r="626" spans="1:13" ht="15" customHeight="1">
      <c r="A626" s="104"/>
      <c r="B626" s="50"/>
      <c r="C626" s="50"/>
      <c r="D626" s="50"/>
      <c r="E626" s="50"/>
      <c r="F626" s="50"/>
      <c r="G626" s="50"/>
      <c r="H626" s="50"/>
      <c r="I626" s="50"/>
      <c r="J626" s="50"/>
      <c r="K626" s="50"/>
      <c r="L626" s="50"/>
      <c r="M626" s="50"/>
    </row>
    <row r="627" spans="1:13" ht="15" customHeight="1">
      <c r="A627" s="103" t="s">
        <v>88</v>
      </c>
      <c r="B627" s="47">
        <f t="shared" ref="B627:I627" si="1382">IF(B612="No",0,B604)</f>
        <v>123.25</v>
      </c>
      <c r="C627" s="47">
        <f t="shared" si="1382"/>
        <v>129.09</v>
      </c>
      <c r="D627" s="47">
        <f t="shared" si="1382"/>
        <v>100.75</v>
      </c>
      <c r="E627" s="47">
        <f t="shared" si="1382"/>
        <v>95</v>
      </c>
      <c r="F627" s="47">
        <f t="shared" si="1382"/>
        <v>80.714285714285708</v>
      </c>
      <c r="G627" s="47">
        <f t="shared" si="1382"/>
        <v>80.714285714285708</v>
      </c>
      <c r="H627" s="47">
        <f t="shared" si="1382"/>
        <v>71.428571428571431</v>
      </c>
      <c r="I627" s="47">
        <f t="shared" si="1382"/>
        <v>72.28</v>
      </c>
      <c r="J627" s="47">
        <f t="shared" ref="J627:M627" si="1383">IF(J612="No",0,J604)</f>
        <v>59.714285714285715</v>
      </c>
      <c r="K627" s="47">
        <f t="shared" si="1383"/>
        <v>72.8</v>
      </c>
      <c r="L627" s="47">
        <f t="shared" si="1383"/>
        <v>72.857142857142861</v>
      </c>
      <c r="M627" s="47">
        <f t="shared" si="1383"/>
        <v>83.43</v>
      </c>
    </row>
    <row r="628" spans="1:13" ht="15" customHeight="1">
      <c r="A628" s="103" t="s">
        <v>32</v>
      </c>
      <c r="B628" s="40">
        <f t="shared" ref="B628:I628" si="1384">IF(B612="No",0,B606)</f>
        <v>0.2674722594236017</v>
      </c>
      <c r="C628" s="40">
        <f t="shared" si="1384"/>
        <v>0.3</v>
      </c>
      <c r="D628" s="40">
        <f t="shared" si="1384"/>
        <v>0.3</v>
      </c>
      <c r="E628" s="40">
        <f t="shared" si="1384"/>
        <v>0.35</v>
      </c>
      <c r="F628" s="40">
        <f t="shared" si="1384"/>
        <v>0.35</v>
      </c>
      <c r="G628" s="40">
        <f t="shared" si="1384"/>
        <v>0.35</v>
      </c>
      <c r="H628" s="40">
        <f t="shared" si="1384"/>
        <v>0.35</v>
      </c>
      <c r="I628" s="40">
        <f t="shared" si="1384"/>
        <v>0.3</v>
      </c>
      <c r="J628" s="40">
        <f t="shared" ref="J628:M628" si="1385">IF(J612="No",0,J606)</f>
        <v>0.4</v>
      </c>
      <c r="K628" s="40">
        <f t="shared" si="1385"/>
        <v>0.4</v>
      </c>
      <c r="L628" s="40">
        <f t="shared" si="1385"/>
        <v>0.4</v>
      </c>
      <c r="M628" s="40">
        <f t="shared" si="1385"/>
        <v>0.4</v>
      </c>
    </row>
    <row r="629" spans="1:13" ht="15" customHeight="1">
      <c r="A629" s="103" t="s">
        <v>82</v>
      </c>
      <c r="B629" s="40">
        <f t="shared" ref="B629:I629" si="1386">IF(B612="No",0,B607)</f>
        <v>0</v>
      </c>
      <c r="C629" s="40">
        <f t="shared" si="1386"/>
        <v>0</v>
      </c>
      <c r="D629" s="40">
        <f t="shared" si="1386"/>
        <v>0</v>
      </c>
      <c r="E629" s="40">
        <f t="shared" si="1386"/>
        <v>0</v>
      </c>
      <c r="F629" s="40">
        <f t="shared" si="1386"/>
        <v>0</v>
      </c>
      <c r="G629" s="40">
        <f t="shared" si="1386"/>
        <v>0</v>
      </c>
      <c r="H629" s="40">
        <f t="shared" si="1386"/>
        <v>0</v>
      </c>
      <c r="I629" s="40">
        <f t="shared" si="1386"/>
        <v>0</v>
      </c>
      <c r="J629" s="40">
        <f t="shared" ref="J629:M629" si="1387">IF(J612="No",0,J607)</f>
        <v>0</v>
      </c>
      <c r="K629" s="40">
        <f t="shared" si="1387"/>
        <v>0</v>
      </c>
      <c r="L629" s="40">
        <f t="shared" si="1387"/>
        <v>0</v>
      </c>
      <c r="M629" s="40">
        <f t="shared" si="1387"/>
        <v>0</v>
      </c>
    </row>
    <row r="630" spans="1:13" ht="15" customHeight="1">
      <c r="A630" s="104"/>
      <c r="B630" s="50"/>
      <c r="C630" s="50"/>
      <c r="D630" s="50"/>
      <c r="E630" s="50"/>
      <c r="F630" s="50"/>
      <c r="G630" s="50"/>
      <c r="H630" s="50"/>
      <c r="I630" s="50"/>
      <c r="J630" s="50"/>
      <c r="K630" s="50"/>
      <c r="L630" s="50"/>
      <c r="M630" s="50"/>
    </row>
    <row r="631" spans="1:13" ht="15" customHeight="1">
      <c r="A631" s="102" t="s">
        <v>83</v>
      </c>
      <c r="B631" s="40">
        <f t="shared" ref="B631:I631" si="1388">IF(B612="No",0,B564)</f>
        <v>1.95E-2</v>
      </c>
      <c r="C631" s="40">
        <f t="shared" si="1388"/>
        <v>0.02</v>
      </c>
      <c r="D631" s="40">
        <f t="shared" si="1388"/>
        <v>2.4799999999999999E-2</v>
      </c>
      <c r="E631" s="40">
        <f t="shared" si="1388"/>
        <v>2.5999999999999999E-2</v>
      </c>
      <c r="F631" s="40">
        <f t="shared" si="1388"/>
        <v>2.7E-2</v>
      </c>
      <c r="G631" s="40">
        <f t="shared" si="1388"/>
        <v>2.7199999999999998E-2</v>
      </c>
      <c r="H631" s="40">
        <f t="shared" si="1388"/>
        <v>3.04E-2</v>
      </c>
      <c r="I631" s="40">
        <f t="shared" si="1388"/>
        <v>0.03</v>
      </c>
      <c r="J631" s="40">
        <f t="shared" ref="J631:M631" si="1389">IF(J612="No",0,J564)</f>
        <v>1.7500000000000002E-2</v>
      </c>
      <c r="K631" s="40">
        <f t="shared" si="1389"/>
        <v>1.7299999999999999E-2</v>
      </c>
      <c r="L631" s="40">
        <f t="shared" si="1389"/>
        <v>1.7999999999999999E-2</v>
      </c>
      <c r="M631" s="40">
        <f t="shared" si="1389"/>
        <v>1.67E-2</v>
      </c>
    </row>
    <row r="632" spans="1:13" ht="15" customHeight="1">
      <c r="A632" s="104"/>
      <c r="B632" s="50"/>
      <c r="C632" s="50"/>
      <c r="D632" s="50"/>
      <c r="E632" s="50"/>
      <c r="F632" s="50"/>
      <c r="G632" s="50"/>
      <c r="H632" s="50"/>
      <c r="I632" s="50"/>
      <c r="J632" s="50"/>
      <c r="K632" s="50"/>
      <c r="L632" s="50"/>
      <c r="M632" s="50"/>
    </row>
    <row r="633" spans="1:13" ht="15" customHeight="1">
      <c r="A633" s="23" t="s">
        <v>74</v>
      </c>
      <c r="B633" s="26"/>
      <c r="C633" s="26"/>
      <c r="D633" s="26"/>
      <c r="E633" s="26"/>
      <c r="F633" s="26"/>
      <c r="G633" s="26"/>
      <c r="H633" s="26"/>
      <c r="I633" s="26"/>
      <c r="J633" s="26"/>
      <c r="K633" s="26"/>
      <c r="L633" s="26"/>
      <c r="M633" s="26"/>
    </row>
    <row r="634" spans="1:13" ht="15" customHeight="1">
      <c r="A634" s="103" t="s">
        <v>80</v>
      </c>
      <c r="B634" s="39">
        <f t="shared" ref="B634:I634" si="1390">IF(B638=0,B639,B635)</f>
        <v>0</v>
      </c>
      <c r="C634" s="39">
        <f t="shared" si="1390"/>
        <v>0</v>
      </c>
      <c r="D634" s="39">
        <f t="shared" si="1390"/>
        <v>0</v>
      </c>
      <c r="E634" s="39">
        <f t="shared" si="1390"/>
        <v>0</v>
      </c>
      <c r="F634" s="39">
        <f t="shared" si="1390"/>
        <v>0</v>
      </c>
      <c r="G634" s="39">
        <f t="shared" si="1390"/>
        <v>0</v>
      </c>
      <c r="H634" s="39">
        <f t="shared" si="1390"/>
        <v>0</v>
      </c>
      <c r="I634" s="39">
        <f t="shared" si="1390"/>
        <v>0</v>
      </c>
      <c r="J634" s="39">
        <f t="shared" ref="J634:M634" si="1391">IF(J638=0,J639,J635)</f>
        <v>0</v>
      </c>
      <c r="K634" s="39">
        <f t="shared" si="1391"/>
        <v>0</v>
      </c>
      <c r="L634" s="39">
        <f t="shared" si="1391"/>
        <v>0</v>
      </c>
      <c r="M634" s="39">
        <f t="shared" si="1391"/>
        <v>0</v>
      </c>
    </row>
    <row r="635" spans="1:13" ht="15" customHeight="1">
      <c r="A635" s="104" t="s">
        <v>70</v>
      </c>
      <c r="B635" s="41">
        <f t="shared" ref="B635:I635" si="1392">B637*B638</f>
        <v>0</v>
      </c>
      <c r="C635" s="41">
        <f t="shared" si="1392"/>
        <v>0</v>
      </c>
      <c r="D635" s="41">
        <f t="shared" si="1392"/>
        <v>0</v>
      </c>
      <c r="E635" s="41">
        <f t="shared" si="1392"/>
        <v>0</v>
      </c>
      <c r="F635" s="41">
        <f t="shared" si="1392"/>
        <v>0</v>
      </c>
      <c r="G635" s="41">
        <f t="shared" si="1392"/>
        <v>0</v>
      </c>
      <c r="H635" s="41">
        <f t="shared" si="1392"/>
        <v>0</v>
      </c>
      <c r="I635" s="41">
        <f t="shared" si="1392"/>
        <v>0</v>
      </c>
      <c r="J635" s="41">
        <f t="shared" ref="J635:M635" si="1393">J637*J638</f>
        <v>0</v>
      </c>
      <c r="K635" s="41">
        <f t="shared" si="1393"/>
        <v>0</v>
      </c>
      <c r="L635" s="41">
        <f t="shared" si="1393"/>
        <v>0</v>
      </c>
      <c r="M635" s="41">
        <f t="shared" si="1393"/>
        <v>0</v>
      </c>
    </row>
    <row r="636" spans="1:13" ht="15" customHeight="1">
      <c r="A636" s="104" t="s">
        <v>71</v>
      </c>
      <c r="B636" s="47">
        <f t="shared" ref="B636:B639" si="1394">B928</f>
        <v>0</v>
      </c>
      <c r="C636" s="47">
        <f t="shared" ref="C636:D636" si="1395">C928</f>
        <v>0</v>
      </c>
      <c r="D636" s="47">
        <f t="shared" si="1395"/>
        <v>0</v>
      </c>
      <c r="E636" s="47">
        <f t="shared" ref="E636:F636" si="1396">E928</f>
        <v>0</v>
      </c>
      <c r="F636" s="47">
        <f t="shared" si="1396"/>
        <v>0</v>
      </c>
      <c r="G636" s="47">
        <f t="shared" ref="G636:H636" si="1397">G928</f>
        <v>0</v>
      </c>
      <c r="H636" s="47">
        <f t="shared" si="1397"/>
        <v>0</v>
      </c>
      <c r="I636" s="47">
        <f t="shared" ref="I636:L636" si="1398">I928</f>
        <v>0</v>
      </c>
      <c r="J636" s="47">
        <f t="shared" si="1398"/>
        <v>0</v>
      </c>
      <c r="K636" s="47">
        <f t="shared" si="1398"/>
        <v>0</v>
      </c>
      <c r="L636" s="47">
        <f t="shared" si="1398"/>
        <v>0</v>
      </c>
      <c r="M636" s="47">
        <f t="shared" ref="M636" si="1399">M928</f>
        <v>0</v>
      </c>
    </row>
    <row r="637" spans="1:13" ht="15" customHeight="1">
      <c r="A637" s="104" t="s">
        <v>72</v>
      </c>
      <c r="B637" s="47">
        <f t="shared" si="1394"/>
        <v>0</v>
      </c>
      <c r="C637" s="47">
        <f t="shared" ref="C637:D637" si="1400">C929</f>
        <v>0</v>
      </c>
      <c r="D637" s="47">
        <f t="shared" si="1400"/>
        <v>0</v>
      </c>
      <c r="E637" s="47">
        <f t="shared" ref="E637:F637" si="1401">E929</f>
        <v>0</v>
      </c>
      <c r="F637" s="47">
        <f t="shared" si="1401"/>
        <v>0</v>
      </c>
      <c r="G637" s="47">
        <f t="shared" ref="G637:H637" si="1402">G929</f>
        <v>0</v>
      </c>
      <c r="H637" s="47">
        <f t="shared" si="1402"/>
        <v>0</v>
      </c>
      <c r="I637" s="47">
        <f t="shared" ref="I637:L637" si="1403">I929</f>
        <v>0</v>
      </c>
      <c r="J637" s="47">
        <f t="shared" si="1403"/>
        <v>0</v>
      </c>
      <c r="K637" s="47">
        <f t="shared" si="1403"/>
        <v>0</v>
      </c>
      <c r="L637" s="47">
        <f t="shared" si="1403"/>
        <v>0</v>
      </c>
      <c r="M637" s="47">
        <f t="shared" ref="M637" si="1404">M929</f>
        <v>0</v>
      </c>
    </row>
    <row r="638" spans="1:13" ht="15" customHeight="1">
      <c r="A638" s="104" t="s">
        <v>73</v>
      </c>
      <c r="B638" s="119">
        <f t="shared" si="1394"/>
        <v>0</v>
      </c>
      <c r="C638" s="119">
        <f t="shared" ref="C638:D638" si="1405">C930</f>
        <v>0</v>
      </c>
      <c r="D638" s="119">
        <f t="shared" si="1405"/>
        <v>0</v>
      </c>
      <c r="E638" s="119">
        <f t="shared" ref="E638:F638" si="1406">E930</f>
        <v>0</v>
      </c>
      <c r="F638" s="119">
        <f t="shared" si="1406"/>
        <v>0</v>
      </c>
      <c r="G638" s="119">
        <f t="shared" ref="G638:H638" si="1407">G930</f>
        <v>0</v>
      </c>
      <c r="H638" s="119">
        <f t="shared" si="1407"/>
        <v>0</v>
      </c>
      <c r="I638" s="119">
        <f t="shared" ref="I638:L638" si="1408">I930</f>
        <v>0</v>
      </c>
      <c r="J638" s="119">
        <f t="shared" si="1408"/>
        <v>0</v>
      </c>
      <c r="K638" s="119">
        <f t="shared" si="1408"/>
        <v>0</v>
      </c>
      <c r="L638" s="119">
        <f t="shared" si="1408"/>
        <v>0</v>
      </c>
      <c r="M638" s="119">
        <f t="shared" ref="M638" si="1409">M930</f>
        <v>0</v>
      </c>
    </row>
    <row r="639" spans="1:13" ht="15" customHeight="1">
      <c r="A639" s="103" t="s">
        <v>69</v>
      </c>
      <c r="B639" s="47">
        <f t="shared" si="1394"/>
        <v>0</v>
      </c>
      <c r="C639" s="47">
        <f t="shared" ref="C639:D639" si="1410">C931</f>
        <v>0</v>
      </c>
      <c r="D639" s="47">
        <f t="shared" si="1410"/>
        <v>0</v>
      </c>
      <c r="E639" s="47">
        <f t="shared" ref="E639:F639" si="1411">E931</f>
        <v>0</v>
      </c>
      <c r="F639" s="47">
        <f t="shared" si="1411"/>
        <v>0</v>
      </c>
      <c r="G639" s="47">
        <f t="shared" ref="G639:H639" si="1412">G931</f>
        <v>0</v>
      </c>
      <c r="H639" s="47">
        <f t="shared" si="1412"/>
        <v>0</v>
      </c>
      <c r="I639" s="47">
        <f t="shared" ref="I639:L639" si="1413">I931</f>
        <v>0</v>
      </c>
      <c r="J639" s="47">
        <f t="shared" si="1413"/>
        <v>0</v>
      </c>
      <c r="K639" s="47">
        <f t="shared" si="1413"/>
        <v>0</v>
      </c>
      <c r="L639" s="47">
        <f t="shared" si="1413"/>
        <v>0</v>
      </c>
      <c r="M639" s="47">
        <f t="shared" ref="M639" si="1414">M931</f>
        <v>0</v>
      </c>
    </row>
    <row r="641" spans="1:13" ht="15" customHeight="1">
      <c r="A641" s="23" t="s">
        <v>92</v>
      </c>
      <c r="B641" s="26"/>
      <c r="C641" s="26"/>
      <c r="D641" s="26"/>
      <c r="E641" s="26"/>
      <c r="F641" s="26"/>
      <c r="G641" s="26"/>
      <c r="H641" s="26"/>
      <c r="I641" s="26"/>
      <c r="J641" s="26"/>
      <c r="K641" s="26"/>
      <c r="L641" s="26"/>
      <c r="M641" s="26"/>
    </row>
    <row r="642" spans="1:13" ht="15" customHeight="1">
      <c r="A642" s="3" t="s">
        <v>23</v>
      </c>
      <c r="B642" s="107" t="str">
        <f t="shared" ref="B642:I642" si="1415">B935</f>
        <v>Yes</v>
      </c>
      <c r="C642" s="107" t="str">
        <f t="shared" si="1415"/>
        <v>Yes</v>
      </c>
      <c r="D642" s="107" t="str">
        <f t="shared" si="1415"/>
        <v>Yes</v>
      </c>
      <c r="E642" s="107" t="str">
        <f t="shared" si="1415"/>
        <v>Yes</v>
      </c>
      <c r="F642" s="107" t="str">
        <f t="shared" si="1415"/>
        <v>Yes</v>
      </c>
      <c r="G642" s="107" t="str">
        <f t="shared" si="1415"/>
        <v>Yes</v>
      </c>
      <c r="H642" s="107" t="str">
        <f t="shared" si="1415"/>
        <v>Yes</v>
      </c>
      <c r="I642" s="107" t="str">
        <f t="shared" si="1415"/>
        <v>Yes</v>
      </c>
      <c r="J642" s="107" t="str">
        <f t="shared" ref="J642:M642" si="1416">J935</f>
        <v>Yes</v>
      </c>
      <c r="K642" s="107" t="str">
        <f t="shared" si="1416"/>
        <v>Yes</v>
      </c>
      <c r="L642" s="107" t="str">
        <f t="shared" si="1416"/>
        <v>Yes</v>
      </c>
      <c r="M642" s="107" t="str">
        <f t="shared" si="1416"/>
        <v>Yes</v>
      </c>
    </row>
    <row r="643" spans="1:13" ht="15" customHeight="1">
      <c r="A643" s="102" t="s">
        <v>102</v>
      </c>
      <c r="B643" s="39">
        <f t="shared" ref="B643:I643" ca="1" si="1417">IF(B642="No",0,B644*(1-B649))</f>
        <v>122.66649507974032</v>
      </c>
      <c r="C643" s="39">
        <f t="shared" ca="1" si="1417"/>
        <v>124.72860790128512</v>
      </c>
      <c r="D643" s="39">
        <f t="shared" ca="1" si="1417"/>
        <v>132.64593770023743</v>
      </c>
      <c r="E643" s="39">
        <f t="shared" ca="1" si="1417"/>
        <v>103.48124636168616</v>
      </c>
      <c r="F643" s="39">
        <f t="shared" ca="1" si="1417"/>
        <v>105.17187558900167</v>
      </c>
      <c r="G643" s="39">
        <f t="shared" ca="1" si="1417"/>
        <v>105.37463132648273</v>
      </c>
      <c r="H643" s="39">
        <f t="shared" ca="1" si="1417"/>
        <v>110.31234618773523</v>
      </c>
      <c r="I643" s="39">
        <f t="shared" ca="1" si="1417"/>
        <v>18.878518624918676</v>
      </c>
      <c r="J643" s="39">
        <f t="shared" ref="J643:M643" ca="1" si="1418">IF(J642="No",0,J644*(1-J649))</f>
        <v>9.9126972958926904E-2</v>
      </c>
      <c r="K643" s="39">
        <f t="shared" ca="1" si="1418"/>
        <v>-0.21470620746784388</v>
      </c>
      <c r="L643" s="39">
        <f t="shared" ca="1" si="1418"/>
        <v>0.89195899579114357</v>
      </c>
      <c r="M643" s="39">
        <f t="shared" ca="1" si="1418"/>
        <v>30.755417116176268</v>
      </c>
    </row>
    <row r="644" spans="1:13" ht="15" customHeight="1">
      <c r="A644" s="102" t="s">
        <v>307</v>
      </c>
      <c r="B644" s="39">
        <f t="shared" ref="B644:I644" ca="1" si="1419">IF(B642="No",0,+B654-B645)</f>
        <v>167.8223019132065</v>
      </c>
      <c r="C644" s="39">
        <f t="shared" ca="1" si="1419"/>
        <v>168.96214439179857</v>
      </c>
      <c r="D644" s="39">
        <f t="shared" ca="1" si="1419"/>
        <v>179.72294759621161</v>
      </c>
      <c r="E644" s="39">
        <f t="shared" ca="1" si="1419"/>
        <v>140.23680370614011</v>
      </c>
      <c r="F644" s="39">
        <f t="shared" ca="1" si="1419"/>
        <v>142.33573634998197</v>
      </c>
      <c r="G644" s="39">
        <f t="shared" ca="1" si="1419"/>
        <v>142.75392794986863</v>
      </c>
      <c r="H644" s="39">
        <f t="shared" ca="1" si="1419"/>
        <v>149.37352225827385</v>
      </c>
      <c r="I644" s="39">
        <f t="shared" ca="1" si="1419"/>
        <v>25.583989406274213</v>
      </c>
      <c r="J644" s="39">
        <f t="shared" ref="J644:M644" ca="1" si="1420">IF(J642="No",0,+J654-J645)</f>
        <v>0.1339734733868454</v>
      </c>
      <c r="K644" s="39">
        <f t="shared" ca="1" si="1420"/>
        <v>-0.29012754995960677</v>
      </c>
      <c r="L644" s="39">
        <f t="shared" ca="1" si="1420"/>
        <v>1.1918220468766094</v>
      </c>
      <c r="M644" s="39">
        <f t="shared" ca="1" si="1420"/>
        <v>41.340662105050626</v>
      </c>
    </row>
    <row r="645" spans="1:13" ht="15" customHeight="1">
      <c r="A645" s="102" t="s">
        <v>306</v>
      </c>
      <c r="B645" s="35">
        <f t="shared" ref="B645:I645" ca="1" si="1421">IF(B642="No",0,IF(B652+B651=0,0,B646/(B652+B651)))</f>
        <v>549.1776980867935</v>
      </c>
      <c r="C645" s="35">
        <f t="shared" ca="1" si="1421"/>
        <v>548.03785560820143</v>
      </c>
      <c r="D645" s="35">
        <f t="shared" ca="1" si="1421"/>
        <v>537.27705240378839</v>
      </c>
      <c r="E645" s="35">
        <f t="shared" ca="1" si="1421"/>
        <v>504.76319629385989</v>
      </c>
      <c r="F645" s="35">
        <f t="shared" ca="1" si="1421"/>
        <v>502.66426365001803</v>
      </c>
      <c r="G645" s="35">
        <f t="shared" ca="1" si="1421"/>
        <v>502.24607205013137</v>
      </c>
      <c r="H645" s="35">
        <f t="shared" ca="1" si="1421"/>
        <v>495.62647774172615</v>
      </c>
      <c r="I645" s="35">
        <f t="shared" ca="1" si="1421"/>
        <v>462.41601059372579</v>
      </c>
      <c r="J645" s="35">
        <f t="shared" ref="J645:M645" ca="1" si="1422">IF(J642="No",0,IF(J652+J651=0,0,J646/(J652+J651)))</f>
        <v>487.86602652661315</v>
      </c>
      <c r="K645" s="35">
        <f t="shared" ca="1" si="1422"/>
        <v>488.29012754995961</v>
      </c>
      <c r="L645" s="35">
        <f t="shared" ca="1" si="1422"/>
        <v>486.80817795312339</v>
      </c>
      <c r="M645" s="35">
        <f t="shared" ca="1" si="1422"/>
        <v>296.65933789494937</v>
      </c>
    </row>
    <row r="646" spans="1:13" ht="15" customHeight="1">
      <c r="A646" s="102" t="s">
        <v>305</v>
      </c>
      <c r="B646" s="39">
        <f t="shared" ref="B646:I646" ca="1" si="1423">IF(B642="No",0,IF(B652=0,0,SUM(B655/(1+B648)^1,B656/(1+B648)^2,B657/(1+B648)^3,B658/(1+B648)^4,B659/(1+B648)^5,IF(B651&gt;0,(IF(B660&gt;0,IF(B651&gt;1,B660/B651,B660),0)*(1-(1+B648)^(-B651))/B648)/(1+B648)^5,IF(B660&gt;0,IF(B651&gt;1,B660/B651,B660),0)/(1+B648)^6))))</f>
        <v>4393.421584694348</v>
      </c>
      <c r="C646" s="39">
        <f t="shared" ca="1" si="1423"/>
        <v>4384.3028448656114</v>
      </c>
      <c r="D646" s="39">
        <f t="shared" ca="1" si="1423"/>
        <v>4298.2164192303071</v>
      </c>
      <c r="E646" s="39">
        <f t="shared" ca="1" si="1423"/>
        <v>4038.1055703508791</v>
      </c>
      <c r="F646" s="39">
        <f t="shared" ca="1" si="1423"/>
        <v>4021.3141092001442</v>
      </c>
      <c r="G646" s="39">
        <f t="shared" ca="1" si="1423"/>
        <v>4017.968576401051</v>
      </c>
      <c r="H646" s="39">
        <f t="shared" ca="1" si="1423"/>
        <v>3965.0118219338092</v>
      </c>
      <c r="I646" s="39">
        <f t="shared" ca="1" si="1423"/>
        <v>3699.3280847498063</v>
      </c>
      <c r="J646" s="39">
        <f t="shared" ref="J646:M646" ca="1" si="1424">IF(J642="No",0,IF(J652=0,0,SUM(J655/(1+J648)^1,J656/(1+J648)^2,J657/(1+J648)^3,J658/(1+J648)^4,J659/(1+J648)^5,IF(J651&gt;0,(IF(J660&gt;0,IF(J651&gt;1,J660/J651,J660),0)*(1-(1+J648)^(-J651))/J648)/(1+J648)^5,IF(J660&gt;0,IF(J651&gt;1,J660/J651,J660),0)/(1+J648)^6))))</f>
        <v>3902.9282122129052</v>
      </c>
      <c r="K646" s="39">
        <f t="shared" ca="1" si="1424"/>
        <v>3906.3210203996769</v>
      </c>
      <c r="L646" s="39">
        <f t="shared" ca="1" si="1424"/>
        <v>3894.4654236249871</v>
      </c>
      <c r="M646" s="39">
        <f t="shared" ca="1" si="1424"/>
        <v>2669.9340410545442</v>
      </c>
    </row>
    <row r="647" spans="1:13" ht="15" customHeight="1">
      <c r="A647" s="104"/>
      <c r="B647" s="50"/>
      <c r="C647" s="50"/>
      <c r="D647" s="50"/>
      <c r="E647" s="50"/>
      <c r="F647" s="50"/>
      <c r="G647" s="50"/>
      <c r="H647" s="50"/>
      <c r="I647" s="50"/>
      <c r="J647" s="50"/>
      <c r="K647" s="50"/>
      <c r="L647" s="50"/>
      <c r="M647" s="50"/>
    </row>
    <row r="648" spans="1:13" ht="15" customHeight="1">
      <c r="A648" s="102" t="s">
        <v>304</v>
      </c>
      <c r="B648" s="38">
        <f t="shared" ref="B648:I648" ca="1" si="1425">IF(B642="No",0,B548)</f>
        <v>2.9499999999999998E-2</v>
      </c>
      <c r="C648" s="38">
        <f t="shared" ca="1" si="1425"/>
        <v>0.03</v>
      </c>
      <c r="D648" s="38">
        <f t="shared" ca="1" si="1425"/>
        <v>3.4799999999999998E-2</v>
      </c>
      <c r="E648" s="38">
        <f t="shared" ca="1" si="1425"/>
        <v>3.5999999999999997E-2</v>
      </c>
      <c r="F648" s="38">
        <f t="shared" ca="1" si="1425"/>
        <v>3.6999999999999998E-2</v>
      </c>
      <c r="G648" s="38">
        <f t="shared" ca="1" si="1425"/>
        <v>3.7199999999999997E-2</v>
      </c>
      <c r="H648" s="38">
        <f t="shared" ca="1" si="1425"/>
        <v>4.0399999999999998E-2</v>
      </c>
      <c r="I648" s="38">
        <f t="shared" ca="1" si="1425"/>
        <v>0.04</v>
      </c>
      <c r="J648" s="38">
        <f t="shared" ref="J648:M648" ca="1" si="1426">IF(J642="No",0,J548)</f>
        <v>2.7500000000000004E-2</v>
      </c>
      <c r="K648" s="38">
        <f t="shared" ca="1" si="1426"/>
        <v>2.7299999999999998E-2</v>
      </c>
      <c r="L648" s="38">
        <f t="shared" ca="1" si="1426"/>
        <v>2.7999999999999997E-2</v>
      </c>
      <c r="M648" s="38">
        <f t="shared" ca="1" si="1426"/>
        <v>2.6700000000000002E-2</v>
      </c>
    </row>
    <row r="649" spans="1:13" ht="15" customHeight="1">
      <c r="A649" s="103" t="s">
        <v>103</v>
      </c>
      <c r="B649" s="42">
        <f t="shared" ref="B649:I649" si="1427">IF(B642="No",0,B817)</f>
        <v>0.26906916612798965</v>
      </c>
      <c r="C649" s="42">
        <f t="shared" si="1427"/>
        <v>0.26179554390563564</v>
      </c>
      <c r="D649" s="42">
        <f t="shared" si="1427"/>
        <v>0.26194211994421202</v>
      </c>
      <c r="E649" s="42">
        <f t="shared" si="1427"/>
        <v>0.2620963710886734</v>
      </c>
      <c r="F649" s="42">
        <f t="shared" si="1427"/>
        <v>0.2611</v>
      </c>
      <c r="G649" s="42">
        <f t="shared" si="1427"/>
        <v>0.26184425998080074</v>
      </c>
      <c r="H649" s="42">
        <f t="shared" si="1427"/>
        <v>0.26150000000000001</v>
      </c>
      <c r="I649" s="42">
        <f t="shared" si="1427"/>
        <v>0.2620963710886734</v>
      </c>
      <c r="J649" s="42">
        <f t="shared" ref="J649:M649" si="1428">IF(J642="No",0,J817)</f>
        <v>0.2601</v>
      </c>
      <c r="K649" s="42">
        <f t="shared" si="1428"/>
        <v>0.25995925758261657</v>
      </c>
      <c r="L649" s="42">
        <f t="shared" si="1428"/>
        <v>0.25160052364471064</v>
      </c>
      <c r="M649" s="42">
        <f t="shared" si="1428"/>
        <v>0.25604923699519433</v>
      </c>
    </row>
    <row r="650" spans="1:13" ht="15" customHeight="1">
      <c r="A650" s="104"/>
      <c r="B650" s="50"/>
      <c r="C650" s="50"/>
      <c r="D650" s="50"/>
      <c r="E650" s="50"/>
      <c r="F650" s="50"/>
      <c r="G650" s="50"/>
      <c r="H650" s="50"/>
      <c r="I650" s="50"/>
      <c r="J650" s="50"/>
      <c r="K650" s="50"/>
      <c r="L650" s="50"/>
      <c r="M650" s="50"/>
    </row>
    <row r="651" spans="1:13" ht="15" customHeight="1">
      <c r="A651" s="102" t="s">
        <v>101</v>
      </c>
      <c r="B651" s="37">
        <f t="shared" ref="B651:I651" si="1429">IF(B642="No",0,IF(B652=0,0,IF(B655+B656+B657+B658+B659=0,0,ROUND(B660/AVERAGE(B655,B656,B657,B658,B659),0))))</f>
        <v>3</v>
      </c>
      <c r="C651" s="37">
        <f t="shared" si="1429"/>
        <v>3</v>
      </c>
      <c r="D651" s="37">
        <f t="shared" si="1429"/>
        <v>3</v>
      </c>
      <c r="E651" s="37">
        <f t="shared" si="1429"/>
        <v>3</v>
      </c>
      <c r="F651" s="37">
        <f t="shared" si="1429"/>
        <v>3</v>
      </c>
      <c r="G651" s="37">
        <f t="shared" si="1429"/>
        <v>3</v>
      </c>
      <c r="H651" s="37">
        <f t="shared" si="1429"/>
        <v>3</v>
      </c>
      <c r="I651" s="37">
        <f t="shared" si="1429"/>
        <v>3</v>
      </c>
      <c r="J651" s="37">
        <f t="shared" ref="J651:M651" si="1430">IF(J642="No",0,IF(J652=0,0,IF(J655+J656+J657+J658+J659=0,0,ROUND(J660/AVERAGE(J655,J656,J657,J658,J659),0))))</f>
        <v>3</v>
      </c>
      <c r="K651" s="37">
        <f t="shared" si="1430"/>
        <v>3</v>
      </c>
      <c r="L651" s="37">
        <f t="shared" si="1430"/>
        <v>3</v>
      </c>
      <c r="M651" s="37">
        <f t="shared" si="1430"/>
        <v>4</v>
      </c>
    </row>
    <row r="652" spans="1:13" ht="15" customHeight="1">
      <c r="A652" s="102" t="s">
        <v>100</v>
      </c>
      <c r="B652" s="37">
        <f t="shared" ref="B652:I652" si="1431">IF(B642="No",0,SUM(IF(B655&gt;0,1,0),IF(B656&gt;0,1,0),IF(B657&gt;0,1,0),IF(B658&gt;0,1,0),IF(B659&gt;0,1,0)))</f>
        <v>5</v>
      </c>
      <c r="C652" s="37">
        <f t="shared" si="1431"/>
        <v>5</v>
      </c>
      <c r="D652" s="37">
        <f t="shared" si="1431"/>
        <v>5</v>
      </c>
      <c r="E652" s="37">
        <f t="shared" si="1431"/>
        <v>5</v>
      </c>
      <c r="F652" s="37">
        <f t="shared" si="1431"/>
        <v>5</v>
      </c>
      <c r="G652" s="37">
        <f t="shared" si="1431"/>
        <v>5</v>
      </c>
      <c r="H652" s="37">
        <f t="shared" si="1431"/>
        <v>5</v>
      </c>
      <c r="I652" s="37">
        <f t="shared" si="1431"/>
        <v>5</v>
      </c>
      <c r="J652" s="37">
        <f t="shared" ref="J652:M652" si="1432">IF(J642="No",0,SUM(IF(J655&gt;0,1,0),IF(J656&gt;0,1,0),IF(J657&gt;0,1,0),IF(J658&gt;0,1,0),IF(J659&gt;0,1,0)))</f>
        <v>5</v>
      </c>
      <c r="K652" s="37">
        <f t="shared" si="1432"/>
        <v>5</v>
      </c>
      <c r="L652" s="37">
        <f t="shared" si="1432"/>
        <v>5</v>
      </c>
      <c r="M652" s="37">
        <f t="shared" si="1432"/>
        <v>5</v>
      </c>
    </row>
    <row r="653" spans="1:13" ht="15" customHeight="1">
      <c r="A653" s="102"/>
      <c r="B653" s="37"/>
      <c r="C653" s="37"/>
      <c r="D653" s="37"/>
      <c r="E653" s="37"/>
      <c r="F653" s="37"/>
      <c r="G653" s="37"/>
      <c r="H653" s="37"/>
      <c r="I653" s="37"/>
      <c r="J653" s="37"/>
      <c r="K653" s="37"/>
      <c r="L653" s="37"/>
      <c r="M653" s="37"/>
    </row>
    <row r="654" spans="1:13" ht="15" customHeight="1">
      <c r="A654" s="103" t="s">
        <v>93</v>
      </c>
      <c r="B654" s="41">
        <f t="shared" ref="B654:I654" si="1433">IF(B642="No",0,B936)</f>
        <v>717</v>
      </c>
      <c r="C654" s="41">
        <f t="shared" si="1433"/>
        <v>717</v>
      </c>
      <c r="D654" s="41">
        <f t="shared" si="1433"/>
        <v>717</v>
      </c>
      <c r="E654" s="41">
        <f t="shared" si="1433"/>
        <v>645</v>
      </c>
      <c r="F654" s="41">
        <f t="shared" si="1433"/>
        <v>645</v>
      </c>
      <c r="G654" s="41">
        <f t="shared" si="1433"/>
        <v>645</v>
      </c>
      <c r="H654" s="41">
        <f t="shared" si="1433"/>
        <v>645</v>
      </c>
      <c r="I654" s="41">
        <f t="shared" si="1433"/>
        <v>488</v>
      </c>
      <c r="J654" s="41">
        <f t="shared" ref="J654:M654" si="1434">IF(J642="No",0,J936)</f>
        <v>488</v>
      </c>
      <c r="K654" s="41">
        <f t="shared" si="1434"/>
        <v>488</v>
      </c>
      <c r="L654" s="41">
        <f t="shared" si="1434"/>
        <v>488</v>
      </c>
      <c r="M654" s="41">
        <f t="shared" si="1434"/>
        <v>338</v>
      </c>
    </row>
    <row r="655" spans="1:13" ht="15" customHeight="1">
      <c r="A655" s="103" t="s">
        <v>94</v>
      </c>
      <c r="B655" s="41">
        <f t="shared" ref="B655:I655" si="1435">IF(B642="No",0,B937)</f>
        <v>662</v>
      </c>
      <c r="C655" s="41">
        <f t="shared" si="1435"/>
        <v>662</v>
      </c>
      <c r="D655" s="41">
        <f t="shared" si="1435"/>
        <v>662</v>
      </c>
      <c r="E655" s="41">
        <f t="shared" si="1435"/>
        <v>610</v>
      </c>
      <c r="F655" s="41">
        <f t="shared" si="1435"/>
        <v>610</v>
      </c>
      <c r="G655" s="41">
        <f t="shared" si="1435"/>
        <v>610</v>
      </c>
      <c r="H655" s="41">
        <f t="shared" si="1435"/>
        <v>610</v>
      </c>
      <c r="I655" s="41">
        <f t="shared" si="1435"/>
        <v>516</v>
      </c>
      <c r="J655" s="41">
        <f t="shared" ref="J655:M655" si="1436">IF(J642="No",0,J937)</f>
        <v>516</v>
      </c>
      <c r="K655" s="41">
        <f t="shared" si="1436"/>
        <v>516</v>
      </c>
      <c r="L655" s="41">
        <f t="shared" si="1436"/>
        <v>516</v>
      </c>
      <c r="M655" s="41">
        <f t="shared" si="1436"/>
        <v>338</v>
      </c>
    </row>
    <row r="656" spans="1:13" ht="15" customHeight="1">
      <c r="A656" s="103" t="s">
        <v>95</v>
      </c>
      <c r="B656" s="41">
        <f t="shared" ref="B656:I656" si="1437">IF(B642="No",0,B938)</f>
        <v>676</v>
      </c>
      <c r="C656" s="41">
        <f t="shared" si="1437"/>
        <v>676</v>
      </c>
      <c r="D656" s="41">
        <f t="shared" si="1437"/>
        <v>676</v>
      </c>
      <c r="E656" s="41">
        <f t="shared" si="1437"/>
        <v>613</v>
      </c>
      <c r="F656" s="41">
        <f t="shared" si="1437"/>
        <v>613</v>
      </c>
      <c r="G656" s="41">
        <f t="shared" si="1437"/>
        <v>613</v>
      </c>
      <c r="H656" s="41">
        <f t="shared" si="1437"/>
        <v>613</v>
      </c>
      <c r="I656" s="41">
        <f t="shared" si="1437"/>
        <v>556</v>
      </c>
      <c r="J656" s="41">
        <f t="shared" ref="J656:M656" si="1438">IF(J642="No",0,J938)</f>
        <v>556</v>
      </c>
      <c r="K656" s="41">
        <f t="shared" si="1438"/>
        <v>556</v>
      </c>
      <c r="L656" s="41">
        <f t="shared" si="1438"/>
        <v>556</v>
      </c>
      <c r="M656" s="41">
        <f t="shared" si="1438"/>
        <v>365</v>
      </c>
    </row>
    <row r="657" spans="1:13" ht="15" customHeight="1">
      <c r="A657" s="103" t="s">
        <v>96</v>
      </c>
      <c r="B657" s="41">
        <f t="shared" ref="B657:I657" si="1439">IF(B642="No",0,B939)</f>
        <v>645</v>
      </c>
      <c r="C657" s="41">
        <f t="shared" si="1439"/>
        <v>645</v>
      </c>
      <c r="D657" s="41">
        <f t="shared" si="1439"/>
        <v>645</v>
      </c>
      <c r="E657" s="41">
        <f t="shared" si="1439"/>
        <v>587</v>
      </c>
      <c r="F657" s="41">
        <f t="shared" si="1439"/>
        <v>587</v>
      </c>
      <c r="G657" s="41">
        <f t="shared" si="1439"/>
        <v>587</v>
      </c>
      <c r="H657" s="41">
        <f t="shared" si="1439"/>
        <v>587</v>
      </c>
      <c r="I657" s="41">
        <f t="shared" si="1439"/>
        <v>542</v>
      </c>
      <c r="J657" s="41">
        <f t="shared" ref="J657:M657" si="1440">IF(J642="No",0,J939)</f>
        <v>542</v>
      </c>
      <c r="K657" s="41">
        <f t="shared" si="1440"/>
        <v>542</v>
      </c>
      <c r="L657" s="41">
        <f t="shared" si="1440"/>
        <v>542</v>
      </c>
      <c r="M657" s="41">
        <f t="shared" si="1440"/>
        <v>362</v>
      </c>
    </row>
    <row r="658" spans="1:13" ht="15" customHeight="1">
      <c r="A658" s="103" t="s">
        <v>97</v>
      </c>
      <c r="B658" s="41">
        <f t="shared" ref="B658:I658" si="1441">IF(B642="No",0,B940)</f>
        <v>593</v>
      </c>
      <c r="C658" s="41">
        <f t="shared" si="1441"/>
        <v>593</v>
      </c>
      <c r="D658" s="41">
        <f t="shared" si="1441"/>
        <v>593</v>
      </c>
      <c r="E658" s="41">
        <f t="shared" si="1441"/>
        <v>551</v>
      </c>
      <c r="F658" s="41">
        <f t="shared" si="1441"/>
        <v>551</v>
      </c>
      <c r="G658" s="41">
        <f t="shared" si="1441"/>
        <v>551</v>
      </c>
      <c r="H658" s="41">
        <f t="shared" si="1441"/>
        <v>551</v>
      </c>
      <c r="I658" s="41">
        <f t="shared" si="1441"/>
        <v>513</v>
      </c>
      <c r="J658" s="41">
        <f t="shared" ref="J658:M658" si="1442">IF(J642="No",0,J940)</f>
        <v>513</v>
      </c>
      <c r="K658" s="41">
        <f t="shared" si="1442"/>
        <v>513</v>
      </c>
      <c r="L658" s="41">
        <f t="shared" si="1442"/>
        <v>513</v>
      </c>
      <c r="M658" s="41">
        <f t="shared" si="1442"/>
        <v>345</v>
      </c>
    </row>
    <row r="659" spans="1:13" ht="15" customHeight="1">
      <c r="A659" s="103" t="s">
        <v>98</v>
      </c>
      <c r="B659" s="41">
        <f t="shared" ref="B659:I659" si="1443">IF(B642="No",0,B941)</f>
        <v>534</v>
      </c>
      <c r="C659" s="41">
        <f t="shared" si="1443"/>
        <v>534</v>
      </c>
      <c r="D659" s="41">
        <f t="shared" si="1443"/>
        <v>534</v>
      </c>
      <c r="E659" s="41">
        <f t="shared" si="1443"/>
        <v>505</v>
      </c>
      <c r="F659" s="41">
        <f t="shared" si="1443"/>
        <v>505</v>
      </c>
      <c r="G659" s="41">
        <f t="shared" si="1443"/>
        <v>505</v>
      </c>
      <c r="H659" s="41">
        <f t="shared" si="1443"/>
        <v>505</v>
      </c>
      <c r="I659" s="41">
        <f t="shared" si="1443"/>
        <v>486</v>
      </c>
      <c r="J659" s="41">
        <f t="shared" ref="J659:M659" si="1444">IF(J642="No",0,J941)</f>
        <v>486</v>
      </c>
      <c r="K659" s="41">
        <f t="shared" si="1444"/>
        <v>486</v>
      </c>
      <c r="L659" s="41">
        <f t="shared" si="1444"/>
        <v>486</v>
      </c>
      <c r="M659" s="41">
        <f t="shared" si="1444"/>
        <v>320</v>
      </c>
    </row>
    <row r="660" spans="1:13" ht="15" customHeight="1">
      <c r="A660" s="103" t="s">
        <v>99</v>
      </c>
      <c r="B660" s="41">
        <f t="shared" ref="B660:I660" si="1445">IF(B642="No",0,B942)</f>
        <v>1877</v>
      </c>
      <c r="C660" s="41">
        <f t="shared" si="1445"/>
        <v>1877</v>
      </c>
      <c r="D660" s="41">
        <f t="shared" si="1445"/>
        <v>1877</v>
      </c>
      <c r="E660" s="41">
        <f t="shared" si="1445"/>
        <v>1855</v>
      </c>
      <c r="F660" s="41">
        <f t="shared" si="1445"/>
        <v>1855</v>
      </c>
      <c r="G660" s="41">
        <f t="shared" si="1445"/>
        <v>1855</v>
      </c>
      <c r="H660" s="41">
        <f t="shared" si="1445"/>
        <v>1855</v>
      </c>
      <c r="I660" s="41">
        <f t="shared" si="1445"/>
        <v>1801</v>
      </c>
      <c r="J660" s="41">
        <f t="shared" ref="J660:M660" si="1446">IF(J642="No",0,J942)</f>
        <v>1801</v>
      </c>
      <c r="K660" s="41">
        <f t="shared" si="1446"/>
        <v>1801</v>
      </c>
      <c r="L660" s="41">
        <f t="shared" si="1446"/>
        <v>1801</v>
      </c>
      <c r="M660" s="41">
        <f t="shared" si="1446"/>
        <v>1302</v>
      </c>
    </row>
    <row r="661" spans="1:13" ht="15" customHeight="1">
      <c r="A661" s="104"/>
      <c r="B661" s="50"/>
      <c r="C661" s="50"/>
      <c r="D661" s="50"/>
      <c r="E661" s="50"/>
      <c r="F661" s="50"/>
      <c r="G661" s="50"/>
      <c r="H661" s="50"/>
      <c r="I661" s="50"/>
      <c r="J661" s="50"/>
      <c r="K661" s="50"/>
      <c r="L661" s="50"/>
      <c r="M661" s="50"/>
    </row>
    <row r="662" spans="1:13" ht="15" customHeight="1">
      <c r="A662" s="23" t="s">
        <v>435</v>
      </c>
      <c r="B662" s="26"/>
      <c r="C662" s="26"/>
      <c r="D662" s="26"/>
      <c r="E662" s="26"/>
      <c r="F662" s="26"/>
      <c r="G662" s="26"/>
      <c r="H662" s="26"/>
      <c r="I662" s="26"/>
      <c r="J662" s="26"/>
      <c r="K662" s="26"/>
      <c r="L662" s="26"/>
      <c r="M662" s="26"/>
    </row>
    <row r="663" spans="1:13" ht="15" customHeight="1">
      <c r="A663" s="103" t="s">
        <v>78</v>
      </c>
      <c r="B663" s="39">
        <f t="shared" ref="B663:I663" ca="1" si="1447">IF(OR(B665=0,B666=0),B669,B668*(1-(1+B665)^(-B666))/B665+B669/(1+B665)^B666)</f>
        <v>41647.853123935085</v>
      </c>
      <c r="C663" s="39">
        <f t="shared" ca="1" si="1447"/>
        <v>34533.033319392671</v>
      </c>
      <c r="D663" s="39">
        <f t="shared" ca="1" si="1447"/>
        <v>32928.76920771844</v>
      </c>
      <c r="E663" s="39">
        <f t="shared" ca="1" si="1447"/>
        <v>15795.886942172412</v>
      </c>
      <c r="F663" s="39">
        <f t="shared" ca="1" si="1447"/>
        <v>16061.650562873376</v>
      </c>
      <c r="G663" s="39">
        <f t="shared" ca="1" si="1447"/>
        <v>15814.49096571554</v>
      </c>
      <c r="H663" s="39">
        <f t="shared" ca="1" si="1447"/>
        <v>15437.120682043111</v>
      </c>
      <c r="I663" s="39">
        <f t="shared" ca="1" si="1447"/>
        <v>15231.005348202092</v>
      </c>
      <c r="J663" s="39">
        <f t="shared" ref="J663:M663" ca="1" si="1448">IF(OR(J665=0,J666=0),J669,J668*(1-(1+J665)^(-J666))/J665+J669/(1+J665)^J666)</f>
        <v>4121.2800910360984</v>
      </c>
      <c r="K663" s="39">
        <f t="shared" ca="1" si="1448"/>
        <v>0</v>
      </c>
      <c r="L663" s="39">
        <f t="shared" ca="1" si="1448"/>
        <v>0</v>
      </c>
      <c r="M663" s="39">
        <f t="shared" ca="1" si="1448"/>
        <v>0</v>
      </c>
    </row>
    <row r="664" spans="1:13" ht="15" customHeight="1">
      <c r="A664" s="103"/>
      <c r="B664" s="39"/>
      <c r="C664" s="39"/>
      <c r="D664" s="39"/>
      <c r="E664" s="39"/>
      <c r="F664" s="39"/>
      <c r="G664" s="39"/>
      <c r="H664" s="39"/>
      <c r="I664" s="39"/>
      <c r="J664" s="39"/>
      <c r="K664" s="39"/>
      <c r="L664" s="39"/>
      <c r="M664" s="39"/>
    </row>
    <row r="665" spans="1:13" ht="15" customHeight="1">
      <c r="A665" s="102" t="s">
        <v>304</v>
      </c>
      <c r="B665" s="120">
        <f t="shared" ref="B665:I665" ca="1" si="1449">B548</f>
        <v>2.9499999999999998E-2</v>
      </c>
      <c r="C665" s="120">
        <f t="shared" ca="1" si="1449"/>
        <v>0.03</v>
      </c>
      <c r="D665" s="120">
        <f t="shared" ca="1" si="1449"/>
        <v>3.4799999999999998E-2</v>
      </c>
      <c r="E665" s="120">
        <f t="shared" ca="1" si="1449"/>
        <v>3.5999999999999997E-2</v>
      </c>
      <c r="F665" s="120">
        <f t="shared" ca="1" si="1449"/>
        <v>3.6999999999999998E-2</v>
      </c>
      <c r="G665" s="120">
        <f t="shared" ca="1" si="1449"/>
        <v>3.7199999999999997E-2</v>
      </c>
      <c r="H665" s="120">
        <f t="shared" ca="1" si="1449"/>
        <v>4.0399999999999998E-2</v>
      </c>
      <c r="I665" s="120">
        <f t="shared" ca="1" si="1449"/>
        <v>0.04</v>
      </c>
      <c r="J665" s="120">
        <f t="shared" ref="J665:M665" ca="1" si="1450">J548</f>
        <v>2.7500000000000004E-2</v>
      </c>
      <c r="K665" s="120">
        <f t="shared" ca="1" si="1450"/>
        <v>2.7299999999999998E-2</v>
      </c>
      <c r="L665" s="120">
        <f t="shared" ca="1" si="1450"/>
        <v>2.7999999999999997E-2</v>
      </c>
      <c r="M665" s="120">
        <f t="shared" ca="1" si="1450"/>
        <v>2.6700000000000002E-2</v>
      </c>
    </row>
    <row r="666" spans="1:13" ht="15" customHeight="1">
      <c r="A666" s="103" t="s">
        <v>31</v>
      </c>
      <c r="B666" s="119">
        <f t="shared" ref="B666:I666" si="1451">B946</f>
        <v>3</v>
      </c>
      <c r="C666" s="119">
        <f t="shared" si="1451"/>
        <v>3</v>
      </c>
      <c r="D666" s="119">
        <f t="shared" si="1451"/>
        <v>3</v>
      </c>
      <c r="E666" s="119">
        <f t="shared" si="1451"/>
        <v>5</v>
      </c>
      <c r="F666" s="119">
        <f t="shared" si="1451"/>
        <v>3</v>
      </c>
      <c r="G666" s="119">
        <f t="shared" si="1451"/>
        <v>3</v>
      </c>
      <c r="H666" s="119">
        <f t="shared" si="1451"/>
        <v>3</v>
      </c>
      <c r="I666" s="119">
        <f t="shared" si="1451"/>
        <v>3</v>
      </c>
      <c r="J666" s="119">
        <f t="shared" ref="J666:M666" si="1452">J946</f>
        <v>3</v>
      </c>
      <c r="K666" s="119">
        <f t="shared" si="1452"/>
        <v>0</v>
      </c>
      <c r="L666" s="119">
        <f t="shared" si="1452"/>
        <v>0</v>
      </c>
      <c r="M666" s="119">
        <f t="shared" si="1452"/>
        <v>0</v>
      </c>
    </row>
    <row r="667" spans="1:13" ht="15" customHeight="1">
      <c r="A667" s="103"/>
      <c r="B667" s="119"/>
      <c r="C667" s="119"/>
      <c r="D667" s="119"/>
      <c r="E667" s="119"/>
      <c r="F667" s="119"/>
      <c r="G667" s="119"/>
      <c r="H667" s="119"/>
      <c r="I667" s="119"/>
      <c r="J667" s="119"/>
      <c r="K667" s="119"/>
      <c r="L667" s="119"/>
      <c r="M667" s="119"/>
    </row>
    <row r="668" spans="1:13" ht="15" customHeight="1">
      <c r="A668" s="103" t="s">
        <v>21</v>
      </c>
      <c r="B668" s="41">
        <f t="shared" ref="B668:I669" si="1453">B947</f>
        <v>509</v>
      </c>
      <c r="C668" s="41">
        <f t="shared" si="1453"/>
        <v>431</v>
      </c>
      <c r="D668" s="41">
        <f t="shared" si="1453"/>
        <v>384</v>
      </c>
      <c r="E668" s="41">
        <f t="shared" si="1453"/>
        <v>352</v>
      </c>
      <c r="F668" s="41">
        <f t="shared" si="1453"/>
        <v>305</v>
      </c>
      <c r="G668" s="41">
        <f t="shared" si="1453"/>
        <v>220</v>
      </c>
      <c r="H668" s="41">
        <f t="shared" si="1453"/>
        <v>136</v>
      </c>
      <c r="I668" s="41">
        <f t="shared" si="1453"/>
        <v>56</v>
      </c>
      <c r="J668" s="41">
        <f t="shared" ref="J668:M668" si="1454">J947</f>
        <v>1450</v>
      </c>
      <c r="K668" s="41">
        <f t="shared" si="1454"/>
        <v>0</v>
      </c>
      <c r="L668" s="41">
        <f t="shared" si="1454"/>
        <v>0</v>
      </c>
      <c r="M668" s="41">
        <f t="shared" si="1454"/>
        <v>0</v>
      </c>
    </row>
    <row r="669" spans="1:13" ht="15" customHeight="1">
      <c r="A669" s="103" t="s">
        <v>69</v>
      </c>
      <c r="B669" s="41">
        <f t="shared" si="1453"/>
        <v>43871</v>
      </c>
      <c r="C669" s="41">
        <f t="shared" si="1453"/>
        <v>36403</v>
      </c>
      <c r="D669" s="41">
        <f t="shared" si="1453"/>
        <v>35295</v>
      </c>
      <c r="E669" s="41">
        <f t="shared" si="1453"/>
        <v>16960</v>
      </c>
      <c r="F669" s="41">
        <f t="shared" si="1453"/>
        <v>16962</v>
      </c>
      <c r="G669" s="41">
        <f t="shared" si="1453"/>
        <v>16961</v>
      </c>
      <c r="H669" s="41">
        <f t="shared" si="1453"/>
        <v>16960</v>
      </c>
      <c r="I669" s="41">
        <f t="shared" si="1453"/>
        <v>16958</v>
      </c>
      <c r="J669" s="41">
        <f t="shared" ref="J669:M669" si="1455">J948</f>
        <v>0</v>
      </c>
      <c r="K669" s="41">
        <f t="shared" si="1455"/>
        <v>0</v>
      </c>
      <c r="L669" s="41">
        <f t="shared" si="1455"/>
        <v>0</v>
      </c>
      <c r="M669" s="41">
        <f t="shared" si="1455"/>
        <v>0</v>
      </c>
    </row>
    <row r="671" spans="1:13" ht="15" customHeight="1">
      <c r="A671" s="23" t="s">
        <v>77</v>
      </c>
      <c r="B671" s="26"/>
      <c r="C671" s="26"/>
      <c r="D671" s="26"/>
      <c r="E671" s="26"/>
      <c r="F671" s="26"/>
      <c r="G671" s="26"/>
      <c r="H671" s="26"/>
      <c r="I671" s="26"/>
      <c r="J671" s="26"/>
      <c r="K671" s="26"/>
      <c r="L671" s="26"/>
      <c r="M671" s="26"/>
    </row>
    <row r="672" spans="1:13" ht="15" customHeight="1">
      <c r="A672" s="3" t="s">
        <v>385</v>
      </c>
      <c r="B672" s="107" t="str">
        <f t="shared" ref="B672:I672" si="1456">B952</f>
        <v>No</v>
      </c>
      <c r="C672" s="107" t="str">
        <f t="shared" si="1456"/>
        <v>No</v>
      </c>
      <c r="D672" s="107" t="str">
        <f t="shared" si="1456"/>
        <v>No</v>
      </c>
      <c r="E672" s="107" t="str">
        <f t="shared" si="1456"/>
        <v>No</v>
      </c>
      <c r="F672" s="107" t="str">
        <f t="shared" si="1456"/>
        <v>No</v>
      </c>
      <c r="G672" s="107" t="str">
        <f t="shared" si="1456"/>
        <v>No</v>
      </c>
      <c r="H672" s="107" t="str">
        <f t="shared" si="1456"/>
        <v>No</v>
      </c>
      <c r="I672" s="107" t="str">
        <f t="shared" si="1456"/>
        <v>No</v>
      </c>
      <c r="J672" s="107" t="str">
        <f t="shared" ref="J672:M672" si="1457">J952</f>
        <v>No</v>
      </c>
      <c r="K672" s="107" t="str">
        <f t="shared" si="1457"/>
        <v>No</v>
      </c>
      <c r="L672" s="107" t="str">
        <f t="shared" si="1457"/>
        <v>No</v>
      </c>
      <c r="M672" s="107" t="str">
        <f t="shared" si="1457"/>
        <v>No</v>
      </c>
    </row>
    <row r="673" spans="1:13" ht="15" customHeight="1">
      <c r="A673" s="3" t="s">
        <v>390</v>
      </c>
      <c r="B673" s="13">
        <f t="shared" ref="B673:I673" si="1458">IF(B672="No",0,+B675+B680)</f>
        <v>0</v>
      </c>
      <c r="C673" s="13">
        <f t="shared" si="1458"/>
        <v>0</v>
      </c>
      <c r="D673" s="13">
        <f t="shared" si="1458"/>
        <v>0</v>
      </c>
      <c r="E673" s="13">
        <f t="shared" si="1458"/>
        <v>0</v>
      </c>
      <c r="F673" s="13">
        <f t="shared" si="1458"/>
        <v>0</v>
      </c>
      <c r="G673" s="13">
        <f t="shared" si="1458"/>
        <v>0</v>
      </c>
      <c r="H673" s="13">
        <f t="shared" si="1458"/>
        <v>0</v>
      </c>
      <c r="I673" s="13">
        <f t="shared" si="1458"/>
        <v>0</v>
      </c>
      <c r="J673" s="13">
        <f t="shared" ref="J673:M673" si="1459">IF(J672="No",0,+J675+J680)</f>
        <v>0</v>
      </c>
      <c r="K673" s="13">
        <f t="shared" si="1459"/>
        <v>0</v>
      </c>
      <c r="L673" s="13">
        <f t="shared" si="1459"/>
        <v>0</v>
      </c>
      <c r="M673" s="13">
        <f t="shared" si="1459"/>
        <v>0</v>
      </c>
    </row>
    <row r="675" spans="1:13" ht="15" customHeight="1">
      <c r="A675" s="3" t="s">
        <v>78</v>
      </c>
      <c r="B675" s="13">
        <f t="shared" ref="B675:I675" si="1460">IF(B672="No",0,(B676*B678)*((1-(1+B677)^(-B687))/B677)+B678/(1+B677)^B687)</f>
        <v>0</v>
      </c>
      <c r="C675" s="13">
        <f t="shared" si="1460"/>
        <v>0</v>
      </c>
      <c r="D675" s="13">
        <f t="shared" si="1460"/>
        <v>0</v>
      </c>
      <c r="E675" s="13">
        <f t="shared" si="1460"/>
        <v>0</v>
      </c>
      <c r="F675" s="13">
        <f t="shared" si="1460"/>
        <v>0</v>
      </c>
      <c r="G675" s="13">
        <f t="shared" si="1460"/>
        <v>0</v>
      </c>
      <c r="H675" s="13">
        <f t="shared" si="1460"/>
        <v>0</v>
      </c>
      <c r="I675" s="13">
        <f t="shared" si="1460"/>
        <v>0</v>
      </c>
      <c r="J675" s="13">
        <f t="shared" ref="J675:M675" si="1461">IF(J672="No",0,(J676*J678)*((1-(1+J677)^(-J687))/J677)+J678/(1+J677)^J687)</f>
        <v>0</v>
      </c>
      <c r="K675" s="13">
        <f t="shared" si="1461"/>
        <v>0</v>
      </c>
      <c r="L675" s="13">
        <f t="shared" si="1461"/>
        <v>0</v>
      </c>
      <c r="M675" s="13">
        <f t="shared" si="1461"/>
        <v>0</v>
      </c>
    </row>
    <row r="676" spans="1:13" ht="15" customHeight="1">
      <c r="A676" s="3" t="s">
        <v>388</v>
      </c>
      <c r="B676" s="40">
        <f t="shared" ref="B676:I676" si="1462">IF(B672="No",0,B953)</f>
        <v>0</v>
      </c>
      <c r="C676" s="40">
        <f t="shared" si="1462"/>
        <v>0</v>
      </c>
      <c r="D676" s="40">
        <f t="shared" si="1462"/>
        <v>0</v>
      </c>
      <c r="E676" s="40">
        <f t="shared" si="1462"/>
        <v>0</v>
      </c>
      <c r="F676" s="40">
        <f t="shared" si="1462"/>
        <v>0</v>
      </c>
      <c r="G676" s="40">
        <f t="shared" si="1462"/>
        <v>0</v>
      </c>
      <c r="H676" s="40">
        <f t="shared" si="1462"/>
        <v>0</v>
      </c>
      <c r="I676" s="40">
        <f t="shared" si="1462"/>
        <v>0</v>
      </c>
      <c r="J676" s="40">
        <f t="shared" ref="J676:M676" si="1463">IF(J672="No",0,J953)</f>
        <v>0</v>
      </c>
      <c r="K676" s="40">
        <f t="shared" si="1463"/>
        <v>0</v>
      </c>
      <c r="L676" s="40">
        <f t="shared" si="1463"/>
        <v>0</v>
      </c>
      <c r="M676" s="40">
        <f t="shared" si="1463"/>
        <v>0</v>
      </c>
    </row>
    <row r="677" spans="1:13" ht="15" customHeight="1">
      <c r="A677" s="3" t="s">
        <v>387</v>
      </c>
      <c r="B677" s="40">
        <f t="shared" ref="B677:I677" si="1464">IF(B672="No",0,B548)</f>
        <v>0</v>
      </c>
      <c r="C677" s="40">
        <f t="shared" si="1464"/>
        <v>0</v>
      </c>
      <c r="D677" s="40">
        <f t="shared" si="1464"/>
        <v>0</v>
      </c>
      <c r="E677" s="40">
        <f t="shared" si="1464"/>
        <v>0</v>
      </c>
      <c r="F677" s="40">
        <f t="shared" si="1464"/>
        <v>0</v>
      </c>
      <c r="G677" s="40">
        <f t="shared" si="1464"/>
        <v>0</v>
      </c>
      <c r="H677" s="40">
        <f t="shared" si="1464"/>
        <v>0</v>
      </c>
      <c r="I677" s="40">
        <f t="shared" si="1464"/>
        <v>0</v>
      </c>
      <c r="J677" s="40">
        <f t="shared" ref="J677:M677" si="1465">IF(J672="No",0,J548)</f>
        <v>0</v>
      </c>
      <c r="K677" s="40">
        <f t="shared" si="1465"/>
        <v>0</v>
      </c>
      <c r="L677" s="40">
        <f t="shared" si="1465"/>
        <v>0</v>
      </c>
      <c r="M677" s="40">
        <f t="shared" si="1465"/>
        <v>0</v>
      </c>
    </row>
    <row r="678" spans="1:13" ht="15" customHeight="1">
      <c r="A678" s="3" t="s">
        <v>425</v>
      </c>
      <c r="B678" s="41">
        <f t="shared" ref="B678:I678" si="1466">IF(B672="No",0,B954)</f>
        <v>0</v>
      </c>
      <c r="C678" s="41">
        <f t="shared" si="1466"/>
        <v>0</v>
      </c>
      <c r="D678" s="41">
        <f t="shared" si="1466"/>
        <v>0</v>
      </c>
      <c r="E678" s="41">
        <f t="shared" si="1466"/>
        <v>0</v>
      </c>
      <c r="F678" s="41">
        <f t="shared" si="1466"/>
        <v>0</v>
      </c>
      <c r="G678" s="41">
        <f t="shared" si="1466"/>
        <v>0</v>
      </c>
      <c r="H678" s="41">
        <f t="shared" si="1466"/>
        <v>0</v>
      </c>
      <c r="I678" s="41">
        <f t="shared" si="1466"/>
        <v>0</v>
      </c>
      <c r="J678" s="41">
        <f t="shared" ref="J678:M678" si="1467">IF(J672="No",0,J954)</f>
        <v>0</v>
      </c>
      <c r="K678" s="41">
        <f t="shared" si="1467"/>
        <v>0</v>
      </c>
      <c r="L678" s="41">
        <f t="shared" si="1467"/>
        <v>0</v>
      </c>
      <c r="M678" s="41">
        <f t="shared" si="1467"/>
        <v>0</v>
      </c>
    </row>
    <row r="680" spans="1:13" ht="15" customHeight="1">
      <c r="A680" s="102" t="s">
        <v>79</v>
      </c>
      <c r="B680" s="41">
        <f t="shared" ref="B680:I680" si="1468">IF(B672="No",0,B681*B683)</f>
        <v>0</v>
      </c>
      <c r="C680" s="41">
        <f t="shared" si="1468"/>
        <v>0</v>
      </c>
      <c r="D680" s="41">
        <f t="shared" si="1468"/>
        <v>0</v>
      </c>
      <c r="E680" s="41">
        <f t="shared" si="1468"/>
        <v>0</v>
      </c>
      <c r="F680" s="41">
        <f t="shared" si="1468"/>
        <v>0</v>
      </c>
      <c r="G680" s="41">
        <f t="shared" si="1468"/>
        <v>0</v>
      </c>
      <c r="H680" s="41">
        <f t="shared" si="1468"/>
        <v>0</v>
      </c>
      <c r="I680" s="41">
        <f t="shared" si="1468"/>
        <v>0</v>
      </c>
      <c r="J680" s="41">
        <f t="shared" ref="J680:M680" si="1469">IF(J672="No",0,J681*J683)</f>
        <v>0</v>
      </c>
      <c r="K680" s="41">
        <f t="shared" si="1469"/>
        <v>0</v>
      </c>
      <c r="L680" s="41">
        <f t="shared" si="1469"/>
        <v>0</v>
      </c>
      <c r="M680" s="41">
        <f t="shared" si="1469"/>
        <v>0</v>
      </c>
    </row>
    <row r="681" spans="1:13" ht="15" customHeight="1">
      <c r="A681" s="3" t="s">
        <v>384</v>
      </c>
      <c r="B681" s="1">
        <f t="shared" ref="B681:I681" si="1470">IF(B672="No",0,B956)</f>
        <v>0</v>
      </c>
      <c r="C681" s="1">
        <f t="shared" si="1470"/>
        <v>0</v>
      </c>
      <c r="D681" s="1">
        <f t="shared" si="1470"/>
        <v>0</v>
      </c>
      <c r="E681" s="1">
        <f t="shared" si="1470"/>
        <v>0</v>
      </c>
      <c r="F681" s="1">
        <f t="shared" si="1470"/>
        <v>0</v>
      </c>
      <c r="G681" s="1">
        <f t="shared" si="1470"/>
        <v>0</v>
      </c>
      <c r="H681" s="1">
        <f t="shared" si="1470"/>
        <v>0</v>
      </c>
      <c r="I681" s="1">
        <f t="shared" si="1470"/>
        <v>0</v>
      </c>
      <c r="J681" s="1">
        <f t="shared" ref="J681:M681" si="1471">IF(J672="No",0,J956)</f>
        <v>0</v>
      </c>
      <c r="K681" s="1">
        <f t="shared" si="1471"/>
        <v>0</v>
      </c>
      <c r="L681" s="1">
        <f t="shared" si="1471"/>
        <v>0</v>
      </c>
      <c r="M681" s="1">
        <f t="shared" si="1471"/>
        <v>0</v>
      </c>
    </row>
    <row r="683" spans="1:13" ht="15" customHeight="1">
      <c r="A683" s="102" t="s">
        <v>429</v>
      </c>
      <c r="B683" s="47">
        <f t="shared" ref="B683:I683" si="1472">IF(B672="No",0,IF(OR(B685=0,B685=""),B684,B685))</f>
        <v>0</v>
      </c>
      <c r="C683" s="47">
        <f t="shared" si="1472"/>
        <v>0</v>
      </c>
      <c r="D683" s="47">
        <f t="shared" si="1472"/>
        <v>0</v>
      </c>
      <c r="E683" s="47">
        <f t="shared" si="1472"/>
        <v>0</v>
      </c>
      <c r="F683" s="47">
        <f t="shared" si="1472"/>
        <v>0</v>
      </c>
      <c r="G683" s="47">
        <f t="shared" si="1472"/>
        <v>0</v>
      </c>
      <c r="H683" s="47">
        <f t="shared" si="1472"/>
        <v>0</v>
      </c>
      <c r="I683" s="47">
        <f t="shared" si="1472"/>
        <v>0</v>
      </c>
      <c r="J683" s="47">
        <f t="shared" ref="J683:M683" si="1473">IF(J672="No",0,IF(OR(J685=0,J685=""),J684,J685))</f>
        <v>0</v>
      </c>
      <c r="K683" s="47">
        <f t="shared" si="1473"/>
        <v>0</v>
      </c>
      <c r="L683" s="47">
        <f t="shared" si="1473"/>
        <v>0</v>
      </c>
      <c r="M683" s="47">
        <f t="shared" si="1473"/>
        <v>0</v>
      </c>
    </row>
    <row r="684" spans="1:13" ht="15" customHeight="1">
      <c r="A684" s="102" t="s">
        <v>386</v>
      </c>
      <c r="B684" s="47">
        <f t="shared" ref="B684:I684" si="1474">IF(B672="No",0,IF(ISERROR((EXP((0-B692)*B687))*B690*(NORMSDIST((LN(B690/B688)+((+B693-B692)+(B691^2/2))*B687)/(B691*B687^0.5)))-B688*(EXP((0-B693)*B687))*(NORMSDIST(((LN(B690/B688)+((+B693-B692)+(B691^2/2))*B687)/(B691*B687^0.5))-(B691*(B687^0.5))))),0,(EXP((0-B692)*B687))*B690*(NORMSDIST((LN(B690/B688)+((+B693-B692)+(B691^2/2))*B687)/(B691*B687^0.5)))-B688*(EXP((0-B693)*B687))*(NORMSDIST(((LN(B690/B688)+((+B693-B692)+(B691^2/2))*B687)/(B691*B687^0.5))-(B691*(B687^0.5))))))</f>
        <v>0</v>
      </c>
      <c r="C684" s="47">
        <f t="shared" si="1474"/>
        <v>0</v>
      </c>
      <c r="D684" s="47">
        <f t="shared" si="1474"/>
        <v>0</v>
      </c>
      <c r="E684" s="47">
        <f t="shared" si="1474"/>
        <v>0</v>
      </c>
      <c r="F684" s="47">
        <f t="shared" si="1474"/>
        <v>0</v>
      </c>
      <c r="G684" s="47">
        <f t="shared" si="1474"/>
        <v>0</v>
      </c>
      <c r="H684" s="47">
        <f t="shared" si="1474"/>
        <v>0</v>
      </c>
      <c r="I684" s="47">
        <f t="shared" si="1474"/>
        <v>0</v>
      </c>
      <c r="J684" s="47">
        <f t="shared" ref="J684:M684" si="1475">IF(J672="No",0,IF(ISERROR((EXP((0-J692)*J687))*J690*(NORMSDIST((LN(J690/J688)+((+J693-J692)+(J691^2/2))*J687)/(J691*J687^0.5)))-J688*(EXP((0-J693)*J687))*(NORMSDIST(((LN(J690/J688)+((+J693-J692)+(J691^2/2))*J687)/(J691*J687^0.5))-(J691*(J687^0.5))))),0,(EXP((0-J692)*J687))*J690*(NORMSDIST((LN(J690/J688)+((+J693-J692)+(J691^2/2))*J687)/(J691*J687^0.5)))-J688*(EXP((0-J693)*J687))*(NORMSDIST(((LN(J690/J688)+((+J693-J692)+(J691^2/2))*J687)/(J691*J687^0.5))-(J691*(J687^0.5))))))</f>
        <v>0</v>
      </c>
      <c r="K684" s="47">
        <f t="shared" si="1475"/>
        <v>0</v>
      </c>
      <c r="L684" s="47">
        <f t="shared" si="1475"/>
        <v>0</v>
      </c>
      <c r="M684" s="47">
        <f t="shared" si="1475"/>
        <v>0</v>
      </c>
    </row>
    <row r="685" spans="1:13" ht="15" customHeight="1">
      <c r="A685" s="102" t="s">
        <v>428</v>
      </c>
      <c r="B685" s="47">
        <f t="shared" ref="B685:I685" si="1476">IF(B672="No",0,IF(B955="",0,B955))</f>
        <v>0</v>
      </c>
      <c r="C685" s="47">
        <f t="shared" si="1476"/>
        <v>0</v>
      </c>
      <c r="D685" s="47">
        <f t="shared" si="1476"/>
        <v>0</v>
      </c>
      <c r="E685" s="47">
        <f t="shared" si="1476"/>
        <v>0</v>
      </c>
      <c r="F685" s="47">
        <f t="shared" si="1476"/>
        <v>0</v>
      </c>
      <c r="G685" s="47">
        <f t="shared" si="1476"/>
        <v>0</v>
      </c>
      <c r="H685" s="47">
        <f t="shared" si="1476"/>
        <v>0</v>
      </c>
      <c r="I685" s="47">
        <f t="shared" si="1476"/>
        <v>0</v>
      </c>
      <c r="J685" s="47">
        <f t="shared" ref="J685:M685" si="1477">IF(J672="No",0,IF(J955="",0,J955))</f>
        <v>0</v>
      </c>
      <c r="K685" s="47">
        <f t="shared" si="1477"/>
        <v>0</v>
      </c>
      <c r="L685" s="47">
        <f t="shared" si="1477"/>
        <v>0</v>
      </c>
      <c r="M685" s="47">
        <f t="shared" si="1477"/>
        <v>0</v>
      </c>
    </row>
    <row r="687" spans="1:13" ht="15" customHeight="1">
      <c r="A687" s="103" t="s">
        <v>426</v>
      </c>
      <c r="B687" s="117">
        <f t="shared" ref="B687:I687" si="1478">IF(B672="No",0,B957)</f>
        <v>0</v>
      </c>
      <c r="C687" s="117">
        <f t="shared" si="1478"/>
        <v>0</v>
      </c>
      <c r="D687" s="117">
        <f t="shared" si="1478"/>
        <v>0</v>
      </c>
      <c r="E687" s="117">
        <f t="shared" si="1478"/>
        <v>0</v>
      </c>
      <c r="F687" s="117">
        <f t="shared" si="1478"/>
        <v>0</v>
      </c>
      <c r="G687" s="117">
        <f t="shared" si="1478"/>
        <v>0</v>
      </c>
      <c r="H687" s="117">
        <f t="shared" si="1478"/>
        <v>0</v>
      </c>
      <c r="I687" s="117">
        <f t="shared" si="1478"/>
        <v>0</v>
      </c>
      <c r="J687" s="117">
        <f t="shared" ref="J687:M687" si="1479">IF(J672="No",0,J957)</f>
        <v>0</v>
      </c>
      <c r="K687" s="117">
        <f t="shared" si="1479"/>
        <v>0</v>
      </c>
      <c r="L687" s="117">
        <f t="shared" si="1479"/>
        <v>0</v>
      </c>
      <c r="M687" s="117">
        <f t="shared" si="1479"/>
        <v>0</v>
      </c>
    </row>
    <row r="688" spans="1:13" ht="15" customHeight="1">
      <c r="A688" s="103" t="s">
        <v>427</v>
      </c>
      <c r="B688" s="54">
        <f t="shared" ref="B688:I688" si="1480">IF(B672="No",0,B958)</f>
        <v>0</v>
      </c>
      <c r="C688" s="54">
        <f t="shared" si="1480"/>
        <v>0</v>
      </c>
      <c r="D688" s="54">
        <f t="shared" si="1480"/>
        <v>0</v>
      </c>
      <c r="E688" s="54">
        <f t="shared" si="1480"/>
        <v>0</v>
      </c>
      <c r="F688" s="54">
        <f t="shared" si="1480"/>
        <v>0</v>
      </c>
      <c r="G688" s="54">
        <f t="shared" si="1480"/>
        <v>0</v>
      </c>
      <c r="H688" s="54">
        <f t="shared" si="1480"/>
        <v>0</v>
      </c>
      <c r="I688" s="54">
        <f t="shared" si="1480"/>
        <v>0</v>
      </c>
      <c r="J688" s="54">
        <f t="shared" ref="J688:M688" si="1481">IF(J672="No",0,J958)</f>
        <v>0</v>
      </c>
      <c r="K688" s="54">
        <f t="shared" si="1481"/>
        <v>0</v>
      </c>
      <c r="L688" s="54">
        <f t="shared" si="1481"/>
        <v>0</v>
      </c>
      <c r="M688" s="54">
        <f t="shared" si="1481"/>
        <v>0</v>
      </c>
    </row>
    <row r="689" spans="1:13" ht="15" customHeight="1">
      <c r="A689" s="104"/>
      <c r="B689" s="50"/>
      <c r="C689" s="50"/>
      <c r="D689" s="50"/>
      <c r="E689" s="50"/>
      <c r="F689" s="50"/>
      <c r="G689" s="50"/>
      <c r="H689" s="50"/>
      <c r="I689" s="50"/>
      <c r="J689" s="50"/>
      <c r="K689" s="50"/>
      <c r="L689" s="50"/>
      <c r="M689" s="50"/>
    </row>
    <row r="690" spans="1:13" ht="15" customHeight="1">
      <c r="A690" s="102" t="s">
        <v>365</v>
      </c>
      <c r="B690" s="47">
        <f t="shared" ref="B690:I690" si="1482">IF(B672="No",0,B604)</f>
        <v>0</v>
      </c>
      <c r="C690" s="47">
        <f t="shared" si="1482"/>
        <v>0</v>
      </c>
      <c r="D690" s="47">
        <f t="shared" si="1482"/>
        <v>0</v>
      </c>
      <c r="E690" s="47">
        <f t="shared" si="1482"/>
        <v>0</v>
      </c>
      <c r="F690" s="47">
        <f t="shared" si="1482"/>
        <v>0</v>
      </c>
      <c r="G690" s="47">
        <f t="shared" si="1482"/>
        <v>0</v>
      </c>
      <c r="H690" s="47">
        <f t="shared" si="1482"/>
        <v>0</v>
      </c>
      <c r="I690" s="47">
        <f t="shared" si="1482"/>
        <v>0</v>
      </c>
      <c r="J690" s="47">
        <f t="shared" ref="J690:M690" si="1483">IF(J672="No",0,J604)</f>
        <v>0</v>
      </c>
      <c r="K690" s="47">
        <f t="shared" si="1483"/>
        <v>0</v>
      </c>
      <c r="L690" s="47">
        <f t="shared" si="1483"/>
        <v>0</v>
      </c>
      <c r="M690" s="47">
        <f t="shared" si="1483"/>
        <v>0</v>
      </c>
    </row>
    <row r="691" spans="1:13" ht="15" customHeight="1">
      <c r="A691" s="103" t="s">
        <v>32</v>
      </c>
      <c r="B691" s="40">
        <f t="shared" ref="B691:I691" si="1484">IF(B672="No",0,B606)</f>
        <v>0</v>
      </c>
      <c r="C691" s="40">
        <f t="shared" si="1484"/>
        <v>0</v>
      </c>
      <c r="D691" s="40">
        <f t="shared" si="1484"/>
        <v>0</v>
      </c>
      <c r="E691" s="40">
        <f t="shared" si="1484"/>
        <v>0</v>
      </c>
      <c r="F691" s="40">
        <f t="shared" si="1484"/>
        <v>0</v>
      </c>
      <c r="G691" s="40">
        <f t="shared" si="1484"/>
        <v>0</v>
      </c>
      <c r="H691" s="40">
        <f t="shared" si="1484"/>
        <v>0</v>
      </c>
      <c r="I691" s="40">
        <f t="shared" si="1484"/>
        <v>0</v>
      </c>
      <c r="J691" s="40">
        <f t="shared" ref="J691:M691" si="1485">IF(J672="No",0,J606)</f>
        <v>0</v>
      </c>
      <c r="K691" s="40">
        <f t="shared" si="1485"/>
        <v>0</v>
      </c>
      <c r="L691" s="40">
        <f t="shared" si="1485"/>
        <v>0</v>
      </c>
      <c r="M691" s="40">
        <f t="shared" si="1485"/>
        <v>0</v>
      </c>
    </row>
    <row r="692" spans="1:13" ht="15" customHeight="1">
      <c r="A692" s="103" t="s">
        <v>82</v>
      </c>
      <c r="B692" s="40">
        <f t="shared" ref="B692:I692" si="1486">IF(B672="No",0,B607)</f>
        <v>0</v>
      </c>
      <c r="C692" s="40">
        <f t="shared" si="1486"/>
        <v>0</v>
      </c>
      <c r="D692" s="40">
        <f t="shared" si="1486"/>
        <v>0</v>
      </c>
      <c r="E692" s="40">
        <f t="shared" si="1486"/>
        <v>0</v>
      </c>
      <c r="F692" s="40">
        <f t="shared" si="1486"/>
        <v>0</v>
      </c>
      <c r="G692" s="40">
        <f t="shared" si="1486"/>
        <v>0</v>
      </c>
      <c r="H692" s="40">
        <f t="shared" si="1486"/>
        <v>0</v>
      </c>
      <c r="I692" s="40">
        <f t="shared" si="1486"/>
        <v>0</v>
      </c>
      <c r="J692" s="40">
        <f t="shared" ref="J692:M692" si="1487">IF(J672="No",0,J607)</f>
        <v>0</v>
      </c>
      <c r="K692" s="40">
        <f t="shared" si="1487"/>
        <v>0</v>
      </c>
      <c r="L692" s="40">
        <f t="shared" si="1487"/>
        <v>0</v>
      </c>
      <c r="M692" s="40">
        <f t="shared" si="1487"/>
        <v>0</v>
      </c>
    </row>
    <row r="693" spans="1:13" ht="15" customHeight="1">
      <c r="A693" s="102" t="s">
        <v>83</v>
      </c>
      <c r="B693" s="40">
        <f t="shared" ref="B693:I693" si="1488">IF(B672="No",0,B564)</f>
        <v>0</v>
      </c>
      <c r="C693" s="40">
        <f t="shared" si="1488"/>
        <v>0</v>
      </c>
      <c r="D693" s="40">
        <f t="shared" si="1488"/>
        <v>0</v>
      </c>
      <c r="E693" s="40">
        <f t="shared" si="1488"/>
        <v>0</v>
      </c>
      <c r="F693" s="40">
        <f t="shared" si="1488"/>
        <v>0</v>
      </c>
      <c r="G693" s="40">
        <f t="shared" si="1488"/>
        <v>0</v>
      </c>
      <c r="H693" s="40">
        <f t="shared" si="1488"/>
        <v>0</v>
      </c>
      <c r="I693" s="40">
        <f t="shared" si="1488"/>
        <v>0</v>
      </c>
      <c r="J693" s="40">
        <f t="shared" ref="J693:M693" si="1489">IF(J672="No",0,J564)</f>
        <v>0</v>
      </c>
      <c r="K693" s="40">
        <f t="shared" si="1489"/>
        <v>0</v>
      </c>
      <c r="L693" s="40">
        <f t="shared" si="1489"/>
        <v>0</v>
      </c>
      <c r="M693" s="40">
        <f t="shared" si="1489"/>
        <v>0</v>
      </c>
    </row>
    <row r="694" spans="1:13" ht="15" customHeight="1">
      <c r="A694" s="104"/>
      <c r="B694" s="50"/>
      <c r="C694" s="50"/>
      <c r="D694" s="50"/>
      <c r="E694" s="50"/>
      <c r="F694" s="50"/>
      <c r="G694" s="50"/>
      <c r="H694" s="50"/>
      <c r="I694" s="50"/>
      <c r="J694" s="50"/>
      <c r="K694" s="50"/>
      <c r="L694" s="50"/>
      <c r="M694" s="50"/>
    </row>
    <row r="695" spans="1:13" ht="15" customHeight="1">
      <c r="A695" s="103" t="s">
        <v>69</v>
      </c>
      <c r="B695" s="47">
        <f t="shared" ref="B695:I695" si="1490">IF(B672="No",0,B959)</f>
        <v>0</v>
      </c>
      <c r="C695" s="47">
        <f t="shared" si="1490"/>
        <v>0</v>
      </c>
      <c r="D695" s="47">
        <f t="shared" si="1490"/>
        <v>0</v>
      </c>
      <c r="E695" s="47">
        <f t="shared" si="1490"/>
        <v>0</v>
      </c>
      <c r="F695" s="47">
        <f t="shared" si="1490"/>
        <v>0</v>
      </c>
      <c r="G695" s="47">
        <f t="shared" si="1490"/>
        <v>0</v>
      </c>
      <c r="H695" s="47">
        <f t="shared" si="1490"/>
        <v>0</v>
      </c>
      <c r="I695" s="47">
        <f t="shared" si="1490"/>
        <v>0</v>
      </c>
      <c r="J695" s="47">
        <f t="shared" ref="J695:M695" si="1491">IF(J672="No",0,J959)</f>
        <v>0</v>
      </c>
      <c r="K695" s="47">
        <f t="shared" si="1491"/>
        <v>0</v>
      </c>
      <c r="L695" s="47">
        <f t="shared" si="1491"/>
        <v>0</v>
      </c>
      <c r="M695" s="47">
        <f t="shared" si="1491"/>
        <v>0</v>
      </c>
    </row>
    <row r="696" spans="1:13" ht="15" customHeight="1">
      <c r="A696" s="104"/>
      <c r="B696" s="50"/>
      <c r="C696" s="50"/>
      <c r="D696" s="50"/>
      <c r="E696" s="50"/>
      <c r="F696" s="50"/>
      <c r="G696" s="50"/>
      <c r="H696" s="50"/>
      <c r="I696" s="50"/>
      <c r="J696" s="50"/>
      <c r="K696" s="50"/>
      <c r="L696" s="50"/>
      <c r="M696" s="50"/>
    </row>
    <row r="697" spans="1:13" ht="15" customHeight="1">
      <c r="A697" s="104"/>
      <c r="B697" s="50"/>
      <c r="C697" s="50"/>
      <c r="D697" s="50"/>
      <c r="E697" s="50"/>
      <c r="F697" s="50"/>
      <c r="G697" s="50"/>
      <c r="H697" s="50"/>
      <c r="I697" s="50"/>
      <c r="J697" s="50"/>
      <c r="K697" s="50"/>
      <c r="L697" s="50"/>
      <c r="M697" s="50"/>
    </row>
    <row r="698" spans="1:13" ht="15" customHeight="1">
      <c r="A698" s="23" t="s">
        <v>441</v>
      </c>
      <c r="B698" s="26"/>
      <c r="C698" s="26"/>
      <c r="D698" s="26"/>
      <c r="E698" s="26"/>
      <c r="F698" s="26"/>
      <c r="G698" s="26"/>
      <c r="H698" s="26"/>
      <c r="I698" s="26"/>
      <c r="J698" s="26"/>
      <c r="K698" s="26"/>
      <c r="L698" s="26"/>
      <c r="M698" s="26"/>
    </row>
    <row r="699" spans="1:13" ht="15" customHeight="1">
      <c r="A699" s="3" t="s">
        <v>442</v>
      </c>
      <c r="B699" s="13">
        <f t="shared" ref="B699:I699" si="1492">B701*B700</f>
        <v>0</v>
      </c>
      <c r="C699" s="13">
        <f t="shared" si="1492"/>
        <v>0</v>
      </c>
      <c r="D699" s="13">
        <f t="shared" si="1492"/>
        <v>0</v>
      </c>
      <c r="E699" s="13">
        <f t="shared" si="1492"/>
        <v>0</v>
      </c>
      <c r="F699" s="13">
        <f t="shared" si="1492"/>
        <v>0</v>
      </c>
      <c r="G699" s="13">
        <f t="shared" si="1492"/>
        <v>0</v>
      </c>
      <c r="H699" s="13">
        <f t="shared" si="1492"/>
        <v>0</v>
      </c>
      <c r="I699" s="13">
        <f t="shared" si="1492"/>
        <v>0</v>
      </c>
      <c r="J699" s="13">
        <f t="shared" ref="J699:M699" si="1493">J701*J700</f>
        <v>0</v>
      </c>
      <c r="K699" s="13">
        <f t="shared" si="1493"/>
        <v>0</v>
      </c>
      <c r="L699" s="13">
        <f t="shared" si="1493"/>
        <v>0</v>
      </c>
      <c r="M699" s="13">
        <f t="shared" si="1493"/>
        <v>0</v>
      </c>
    </row>
    <row r="700" spans="1:13" ht="15" customHeight="1">
      <c r="A700" s="103" t="s">
        <v>440</v>
      </c>
      <c r="B700" s="122">
        <f t="shared" ref="B700:I701" si="1494">B963</f>
        <v>1</v>
      </c>
      <c r="C700" s="122">
        <f t="shared" si="1494"/>
        <v>1</v>
      </c>
      <c r="D700" s="122">
        <f t="shared" si="1494"/>
        <v>1</v>
      </c>
      <c r="E700" s="122">
        <f t="shared" si="1494"/>
        <v>1</v>
      </c>
      <c r="F700" s="122">
        <f t="shared" si="1494"/>
        <v>1</v>
      </c>
      <c r="G700" s="122">
        <f t="shared" si="1494"/>
        <v>1</v>
      </c>
      <c r="H700" s="122">
        <f t="shared" si="1494"/>
        <v>1</v>
      </c>
      <c r="I700" s="122">
        <f t="shared" si="1494"/>
        <v>1</v>
      </c>
      <c r="J700" s="122">
        <f t="shared" ref="J700:M700" si="1495">J963</f>
        <v>1</v>
      </c>
      <c r="K700" s="122">
        <f t="shared" si="1495"/>
        <v>1</v>
      </c>
      <c r="L700" s="122">
        <f t="shared" si="1495"/>
        <v>1</v>
      </c>
      <c r="M700" s="122">
        <f t="shared" si="1495"/>
        <v>1</v>
      </c>
    </row>
    <row r="701" spans="1:13" ht="15" customHeight="1">
      <c r="A701" s="103" t="s">
        <v>69</v>
      </c>
      <c r="B701" s="41">
        <f t="shared" si="1494"/>
        <v>0</v>
      </c>
      <c r="C701" s="41">
        <f t="shared" si="1494"/>
        <v>0</v>
      </c>
      <c r="D701" s="41">
        <f t="shared" si="1494"/>
        <v>0</v>
      </c>
      <c r="E701" s="41">
        <f t="shared" si="1494"/>
        <v>0</v>
      </c>
      <c r="F701" s="41">
        <f t="shared" si="1494"/>
        <v>0</v>
      </c>
      <c r="G701" s="41">
        <f t="shared" si="1494"/>
        <v>0</v>
      </c>
      <c r="H701" s="41">
        <f t="shared" si="1494"/>
        <v>0</v>
      </c>
      <c r="I701" s="41">
        <f t="shared" si="1494"/>
        <v>0</v>
      </c>
      <c r="J701" s="41">
        <f t="shared" ref="J701:M701" si="1496">J964</f>
        <v>0</v>
      </c>
      <c r="K701" s="41">
        <f t="shared" si="1496"/>
        <v>0</v>
      </c>
      <c r="L701" s="41">
        <f t="shared" si="1496"/>
        <v>0</v>
      </c>
      <c r="M701" s="41">
        <f t="shared" si="1496"/>
        <v>0</v>
      </c>
    </row>
    <row r="702" spans="1:13" ht="15" customHeight="1">
      <c r="A702" s="103"/>
      <c r="B702" s="41"/>
      <c r="C702" s="41"/>
      <c r="D702" s="41"/>
      <c r="E702" s="41"/>
      <c r="F702" s="41"/>
      <c r="G702" s="41"/>
      <c r="H702" s="41"/>
      <c r="I702" s="41"/>
      <c r="J702" s="41"/>
      <c r="K702" s="41"/>
      <c r="L702" s="41"/>
      <c r="M702" s="41"/>
    </row>
    <row r="703" spans="1:13" ht="15" customHeight="1">
      <c r="A703" s="104"/>
      <c r="B703" s="50"/>
      <c r="C703" s="50"/>
      <c r="D703" s="50"/>
      <c r="E703" s="50"/>
      <c r="F703" s="50"/>
      <c r="G703" s="50"/>
      <c r="H703" s="50"/>
      <c r="I703" s="50"/>
      <c r="J703" s="50"/>
      <c r="K703" s="50"/>
      <c r="L703" s="50"/>
      <c r="M703" s="50"/>
    </row>
    <row r="704" spans="1:13" ht="15" customHeight="1">
      <c r="A704" s="23" t="s">
        <v>499</v>
      </c>
      <c r="B704" s="26"/>
      <c r="C704" s="26"/>
      <c r="D704" s="26"/>
      <c r="E704" s="26"/>
      <c r="F704" s="26"/>
      <c r="G704" s="26"/>
      <c r="H704" s="26"/>
      <c r="I704" s="26"/>
      <c r="J704" s="26"/>
      <c r="K704" s="26"/>
      <c r="L704" s="26"/>
      <c r="M704" s="26"/>
    </row>
    <row r="705" spans="1:13" ht="15" customHeight="1">
      <c r="A705" s="3" t="s">
        <v>22</v>
      </c>
      <c r="B705" s="107" t="str">
        <f t="shared" ref="B705:I705" si="1497">B968</f>
        <v>Yes</v>
      </c>
      <c r="C705" s="107" t="str">
        <f t="shared" si="1497"/>
        <v>Yes</v>
      </c>
      <c r="D705" s="107" t="str">
        <f t="shared" si="1497"/>
        <v>Yes</v>
      </c>
      <c r="E705" s="107" t="str">
        <f t="shared" si="1497"/>
        <v>Yes</v>
      </c>
      <c r="F705" s="107" t="str">
        <f t="shared" si="1497"/>
        <v>Yes</v>
      </c>
      <c r="G705" s="107" t="str">
        <f t="shared" si="1497"/>
        <v>Yes</v>
      </c>
      <c r="H705" s="107" t="str">
        <f t="shared" si="1497"/>
        <v>Yes</v>
      </c>
      <c r="I705" s="107" t="str">
        <f t="shared" si="1497"/>
        <v>Yes</v>
      </c>
      <c r="J705" s="107" t="str">
        <f t="shared" ref="J705:M705" si="1498">J968</f>
        <v>Yes</v>
      </c>
      <c r="K705" s="107" t="str">
        <f t="shared" si="1498"/>
        <v>Yes</v>
      </c>
      <c r="L705" s="107" t="str">
        <f t="shared" si="1498"/>
        <v>Yes</v>
      </c>
      <c r="M705" s="107" t="str">
        <f t="shared" si="1498"/>
        <v>Yes</v>
      </c>
    </row>
    <row r="707" spans="1:13" ht="15" customHeight="1">
      <c r="A707" s="102" t="s">
        <v>340</v>
      </c>
      <c r="B707" s="39">
        <f t="shared" ref="B707:I707" si="1499">IF(B705="No",0,B709*B708)</f>
        <v>1853.7839999999999</v>
      </c>
      <c r="C707" s="39">
        <f t="shared" si="1499"/>
        <v>1602.288</v>
      </c>
      <c r="D707" s="39">
        <f t="shared" si="1499"/>
        <v>1561.8239999999998</v>
      </c>
      <c r="E707" s="39">
        <f t="shared" si="1499"/>
        <v>1451.752</v>
      </c>
      <c r="F707" s="39">
        <f t="shared" si="1499"/>
        <v>1420.972</v>
      </c>
      <c r="G707" s="39">
        <f t="shared" si="1499"/>
        <v>1305.8320000000001</v>
      </c>
      <c r="H707" s="39">
        <f t="shared" si="1499"/>
        <v>1327.2640000000001</v>
      </c>
      <c r="I707" s="39">
        <f t="shared" si="1499"/>
        <v>1146.2488888888888</v>
      </c>
      <c r="J707" s="39">
        <f t="shared" ref="J707:M707" si="1500">IF(J705="No",0,J709*J708)</f>
        <v>750.08199999999999</v>
      </c>
      <c r="K707" s="39">
        <f t="shared" si="1500"/>
        <v>491.49200000000002</v>
      </c>
      <c r="L707" s="39">
        <f t="shared" si="1500"/>
        <v>246.31600000000003</v>
      </c>
      <c r="M707" s="39">
        <f t="shared" si="1500"/>
        <v>226.87</v>
      </c>
    </row>
    <row r="708" spans="1:13" ht="15" customHeight="1">
      <c r="A708" s="103" t="s">
        <v>24</v>
      </c>
      <c r="B708" s="42">
        <f t="shared" ref="B708:I708" si="1501">IF(B705="No",0,B$547)</f>
        <v>0.36</v>
      </c>
      <c r="C708" s="42">
        <f t="shared" si="1501"/>
        <v>0.36</v>
      </c>
      <c r="D708" s="42">
        <f t="shared" si="1501"/>
        <v>0.36</v>
      </c>
      <c r="E708" s="42">
        <f t="shared" si="1501"/>
        <v>0.38</v>
      </c>
      <c r="F708" s="42">
        <f t="shared" si="1501"/>
        <v>0.38</v>
      </c>
      <c r="G708" s="42">
        <f t="shared" si="1501"/>
        <v>0.38</v>
      </c>
      <c r="H708" s="42">
        <f t="shared" si="1501"/>
        <v>0.38</v>
      </c>
      <c r="I708" s="42">
        <f t="shared" si="1501"/>
        <v>0.38</v>
      </c>
      <c r="J708" s="42">
        <f t="shared" ref="J708:M708" si="1502">IF(J705="No",0,J$547)</f>
        <v>0.38</v>
      </c>
      <c r="K708" s="42">
        <f t="shared" si="1502"/>
        <v>0.38</v>
      </c>
      <c r="L708" s="42">
        <f t="shared" si="1502"/>
        <v>0.38</v>
      </c>
      <c r="M708" s="42">
        <f t="shared" si="1502"/>
        <v>0.35</v>
      </c>
    </row>
    <row r="709" spans="1:13" ht="15" customHeight="1">
      <c r="A709" s="102" t="s">
        <v>341</v>
      </c>
      <c r="B709" s="39">
        <f t="shared" ref="B709:I709" si="1503">IF(B705="No",0,B716-B711)</f>
        <v>5149.3999999999996</v>
      </c>
      <c r="C709" s="39">
        <f t="shared" si="1503"/>
        <v>4450.8</v>
      </c>
      <c r="D709" s="39">
        <f t="shared" si="1503"/>
        <v>4338.3999999999996</v>
      </c>
      <c r="E709" s="39">
        <f t="shared" si="1503"/>
        <v>3820.4</v>
      </c>
      <c r="F709" s="39">
        <f t="shared" si="1503"/>
        <v>3739.4</v>
      </c>
      <c r="G709" s="39">
        <f t="shared" si="1503"/>
        <v>3436.4</v>
      </c>
      <c r="H709" s="39">
        <f t="shared" si="1503"/>
        <v>3492.8</v>
      </c>
      <c r="I709" s="39">
        <f t="shared" si="1503"/>
        <v>3016.4444444444443</v>
      </c>
      <c r="J709" s="39">
        <f t="shared" ref="J709:M709" si="1504">IF(J705="No",0,J716-J711)</f>
        <v>1973.9</v>
      </c>
      <c r="K709" s="39">
        <f t="shared" si="1504"/>
        <v>1293.4000000000001</v>
      </c>
      <c r="L709" s="39">
        <f t="shared" si="1504"/>
        <v>648.20000000000005</v>
      </c>
      <c r="M709" s="39">
        <f t="shared" si="1504"/>
        <v>648.20000000000005</v>
      </c>
    </row>
    <row r="710" spans="1:13" ht="15" customHeight="1">
      <c r="A710" s="102"/>
      <c r="B710" s="39"/>
      <c r="C710" s="39"/>
      <c r="D710" s="39"/>
      <c r="E710" s="39"/>
      <c r="F710" s="39"/>
      <c r="G710" s="39"/>
      <c r="H710" s="39"/>
      <c r="I710" s="39"/>
      <c r="J710" s="39"/>
      <c r="K710" s="39"/>
      <c r="L710" s="39"/>
      <c r="M710" s="39"/>
    </row>
    <row r="711" spans="1:13" ht="15" customHeight="1">
      <c r="A711" s="102" t="s">
        <v>342</v>
      </c>
      <c r="B711" s="39">
        <f t="shared" ref="B711:I711" si="1505">IF(B705="No",0,IF(B714=0,0,SUM(IF(1&lt;=B714,B717,0),IF(2&lt;=B714,B718,0),IF(3&lt;=B714,B719,0),IF(4&lt;=B714,B720,0),IF(5&lt;=B714,B721,0),IF(6&lt;=B714,B722,0),IF(7&lt;=B714,B723,0),IF(8&lt;=B714,B724,0),IF(9&lt;=B714,B725,0),IF(10&lt;=B714,B726,0))/B714))</f>
        <v>1953.6</v>
      </c>
      <c r="C711" s="39">
        <f t="shared" si="1505"/>
        <v>2155.1999999999998</v>
      </c>
      <c r="D711" s="39">
        <f t="shared" si="1505"/>
        <v>1702.6</v>
      </c>
      <c r="E711" s="39">
        <f t="shared" si="1505"/>
        <v>1702.6</v>
      </c>
      <c r="F711" s="39">
        <f t="shared" si="1505"/>
        <v>1358.6</v>
      </c>
      <c r="G711" s="39">
        <f t="shared" si="1505"/>
        <v>1358.6</v>
      </c>
      <c r="H711" s="39">
        <f t="shared" si="1505"/>
        <v>1302.2</v>
      </c>
      <c r="I711" s="39">
        <f t="shared" si="1505"/>
        <v>1196.5555555555557</v>
      </c>
      <c r="J711" s="39">
        <f t="shared" ref="J711:M711" si="1506">IF(J705="No",0,IF(J714=0,0,SUM(IF(1&lt;=J714,J717,0),IF(2&lt;=J714,J718,0),IF(3&lt;=J714,J719,0),IF(4&lt;=J714,J720,0),IF(5&lt;=J714,J721,0),IF(6&lt;=J714,J722,0),IF(7&lt;=J714,J723,0),IF(8&lt;=J714,J724,0),IF(9&lt;=J714,J725,0),IF(10&lt;=J714,J726,0))/J714))</f>
        <v>877.1</v>
      </c>
      <c r="K711" s="39">
        <f t="shared" si="1506"/>
        <v>877.1</v>
      </c>
      <c r="L711" s="39">
        <f t="shared" si="1506"/>
        <v>841.8</v>
      </c>
      <c r="M711" s="39">
        <f t="shared" si="1506"/>
        <v>841.8</v>
      </c>
    </row>
    <row r="712" spans="1:13" ht="15" customHeight="1">
      <c r="A712" s="102"/>
      <c r="B712" s="39"/>
      <c r="C712" s="39"/>
      <c r="D712" s="39"/>
      <c r="E712" s="39"/>
      <c r="F712" s="39"/>
      <c r="G712" s="39"/>
      <c r="H712" s="39"/>
      <c r="I712" s="39"/>
      <c r="J712" s="39"/>
      <c r="K712" s="39"/>
      <c r="L712" s="39"/>
      <c r="M712" s="39"/>
    </row>
    <row r="713" spans="1:13" ht="15" customHeight="1">
      <c r="A713" s="102" t="s">
        <v>343</v>
      </c>
      <c r="B713" s="39">
        <f t="shared" ref="B713:I713" si="1507">IF(B705="No",0,B716+IF(B714=0,0,(MAX(0,B717*(B714-1)/B714)+MAX(0,B718*(B714-2)/B714)+MAX(0,B719*(B714-3)/B714)+MAX(0,B720*(B714-4)/B714)+MAX(0,B721*(B714-5)/B714)+MAX(0,B722*(B714-6)/B714)+MAX(0,B723*(B714-7)/B714)+MAX(0,B724*(B714-8)/B714)+MAX(0,B725*(B714-9)/B714)+MAX(0,B726*(B714-10)/B714))))</f>
        <v>19839.300000000003</v>
      </c>
      <c r="C713" s="39">
        <f t="shared" si="1507"/>
        <v>20998.5</v>
      </c>
      <c r="D713" s="39">
        <f t="shared" si="1507"/>
        <v>17083.300000000003</v>
      </c>
      <c r="E713" s="39">
        <f t="shared" si="1507"/>
        <v>16565.300000000003</v>
      </c>
      <c r="F713" s="39">
        <f t="shared" si="1507"/>
        <v>13626.1</v>
      </c>
      <c r="G713" s="39">
        <f t="shared" si="1507"/>
        <v>13323.1</v>
      </c>
      <c r="H713" s="39">
        <f t="shared" si="1507"/>
        <v>13064.9</v>
      </c>
      <c r="I713" s="39">
        <f t="shared" si="1507"/>
        <v>10819.222222222223</v>
      </c>
      <c r="J713" s="39">
        <f t="shared" ref="J713:M713" si="1508">IF(J705="No",0,J716+IF(J714=0,0,(MAX(0,J717*(J714-1)/J714)+MAX(0,J718*(J714-2)/J714)+MAX(0,J719*(J714-3)/J714)+MAX(0,J720*(J714-4)/J714)+MAX(0,J721*(J714-5)/J714)+MAX(0,J722*(J714-6)/J714)+MAX(0,J723*(J714-7)/J714)+MAX(0,J724*(J714-8)/J714)+MAX(0,J725*(J714-9)/J714)+MAX(0,J726*(J714-10)/J714))))</f>
        <v>7838.2999999999993</v>
      </c>
      <c r="K713" s="39">
        <f t="shared" si="1508"/>
        <v>7157.7999999999993</v>
      </c>
      <c r="L713" s="39">
        <f t="shared" si="1508"/>
        <v>6295.7</v>
      </c>
      <c r="M713" s="39">
        <f t="shared" si="1508"/>
        <v>6295.7</v>
      </c>
    </row>
    <row r="714" spans="1:13" ht="15" customHeight="1">
      <c r="A714" s="102" t="s">
        <v>344</v>
      </c>
      <c r="B714" s="45">
        <f t="shared" ref="B714:I714" si="1509">IF(B705="No",0,SUM(IF(B717&gt;0,1,0),IF(B718&gt;0,1,0),IF(B719&gt;0,1,0),IF(B720&gt;0,1,0),IF(B721&gt;0,1,0),IF(B722&gt;0,1,0),IF(B723&gt;0,1,0),IF(B724&gt;0,1,0),IF(B725&gt;0,1,0),IF(B726&gt;0,1,0)))</f>
        <v>10</v>
      </c>
      <c r="C714" s="45">
        <f t="shared" si="1509"/>
        <v>10</v>
      </c>
      <c r="D714" s="45">
        <f t="shared" si="1509"/>
        <v>10</v>
      </c>
      <c r="E714" s="45">
        <f t="shared" si="1509"/>
        <v>10</v>
      </c>
      <c r="F714" s="45">
        <f t="shared" si="1509"/>
        <v>10</v>
      </c>
      <c r="G714" s="45">
        <f t="shared" si="1509"/>
        <v>10</v>
      </c>
      <c r="H714" s="45">
        <f t="shared" si="1509"/>
        <v>10</v>
      </c>
      <c r="I714" s="45">
        <f t="shared" si="1509"/>
        <v>9</v>
      </c>
      <c r="J714" s="45">
        <f t="shared" ref="J714:M714" si="1510">IF(J705="No",0,SUM(IF(J717&gt;0,1,0),IF(J718&gt;0,1,0),IF(J719&gt;0,1,0),IF(J720&gt;0,1,0),IF(J721&gt;0,1,0),IF(J722&gt;0,1,0),IF(J723&gt;0,1,0),IF(J724&gt;0,1,0),IF(J725&gt;0,1,0),IF(J726&gt;0,1,0)))</f>
        <v>10</v>
      </c>
      <c r="K714" s="45">
        <f t="shared" si="1510"/>
        <v>10</v>
      </c>
      <c r="L714" s="45">
        <f t="shared" si="1510"/>
        <v>10</v>
      </c>
      <c r="M714" s="45">
        <f t="shared" si="1510"/>
        <v>10</v>
      </c>
    </row>
    <row r="715" spans="1:13" ht="15" customHeight="1">
      <c r="A715" s="54"/>
      <c r="B715" s="47"/>
      <c r="C715" s="47"/>
      <c r="D715" s="47"/>
      <c r="E715" s="47"/>
      <c r="F715" s="47"/>
      <c r="G715" s="47"/>
      <c r="H715" s="47"/>
      <c r="I715" s="47"/>
      <c r="J715" s="47"/>
      <c r="K715" s="47"/>
      <c r="L715" s="47"/>
      <c r="M715" s="47"/>
    </row>
    <row r="716" spans="1:13" ht="15" customHeight="1">
      <c r="A716" s="103" t="s">
        <v>345</v>
      </c>
      <c r="B716" s="41">
        <f t="shared" ref="B716:I716" si="1511">IF(B705="No",0,B969)</f>
        <v>7103</v>
      </c>
      <c r="C716" s="41">
        <f t="shared" si="1511"/>
        <v>6606</v>
      </c>
      <c r="D716" s="41">
        <f t="shared" si="1511"/>
        <v>6041</v>
      </c>
      <c r="E716" s="41">
        <f t="shared" si="1511"/>
        <v>5523</v>
      </c>
      <c r="F716" s="41">
        <f t="shared" si="1511"/>
        <v>5098</v>
      </c>
      <c r="G716" s="41">
        <f t="shared" si="1511"/>
        <v>4795</v>
      </c>
      <c r="H716" s="41">
        <f t="shared" si="1511"/>
        <v>4795</v>
      </c>
      <c r="I716" s="41">
        <f t="shared" si="1511"/>
        <v>4213</v>
      </c>
      <c r="J716" s="41">
        <f t="shared" ref="J716:M716" si="1512">IF(J705="No",0,J969)</f>
        <v>2851</v>
      </c>
      <c r="K716" s="41">
        <f t="shared" si="1512"/>
        <v>2170.5</v>
      </c>
      <c r="L716" s="41">
        <f t="shared" si="1512"/>
        <v>1490</v>
      </c>
      <c r="M716" s="41">
        <f t="shared" si="1512"/>
        <v>1490</v>
      </c>
    </row>
    <row r="717" spans="1:13" ht="15" customHeight="1">
      <c r="A717" s="103" t="s">
        <v>501</v>
      </c>
      <c r="B717" s="41">
        <f t="shared" ref="B717:I717" si="1513">IF(B705="No",0,B970)</f>
        <v>5098</v>
      </c>
      <c r="C717" s="41">
        <f t="shared" si="1513"/>
        <v>6041</v>
      </c>
      <c r="D717" s="41">
        <f t="shared" si="1513"/>
        <v>4475</v>
      </c>
      <c r="E717" s="41">
        <f t="shared" si="1513"/>
        <v>4475</v>
      </c>
      <c r="F717" s="41">
        <f t="shared" si="1513"/>
        <v>3381</v>
      </c>
      <c r="G717" s="41">
        <f t="shared" si="1513"/>
        <v>3381</v>
      </c>
      <c r="H717" s="41">
        <f t="shared" si="1513"/>
        <v>3381</v>
      </c>
      <c r="I717" s="41">
        <f t="shared" si="1513"/>
        <v>3381</v>
      </c>
      <c r="J717" s="41">
        <f t="shared" ref="J717:M717" si="1514">IF(J705="No",0,J970)</f>
        <v>1559</v>
      </c>
      <c r="K717" s="41">
        <f t="shared" si="1514"/>
        <v>1559</v>
      </c>
      <c r="L717" s="41">
        <f t="shared" si="1514"/>
        <v>1559</v>
      </c>
      <c r="M717" s="41">
        <f t="shared" si="1514"/>
        <v>1559</v>
      </c>
    </row>
    <row r="718" spans="1:13" ht="15" customHeight="1">
      <c r="A718" s="103" t="s">
        <v>502</v>
      </c>
      <c r="B718" s="41">
        <f t="shared" ref="B718:I718" si="1515">IF(B705="No",0,B971)</f>
        <v>3911</v>
      </c>
      <c r="C718" s="41">
        <f t="shared" si="1515"/>
        <v>4475</v>
      </c>
      <c r="D718" s="41">
        <f t="shared" si="1515"/>
        <v>3381</v>
      </c>
      <c r="E718" s="41">
        <f t="shared" si="1515"/>
        <v>3381</v>
      </c>
      <c r="F718" s="41">
        <f t="shared" si="1515"/>
        <v>2429</v>
      </c>
      <c r="G718" s="41">
        <f t="shared" si="1515"/>
        <v>2429</v>
      </c>
      <c r="H718" s="41">
        <f t="shared" si="1515"/>
        <v>2429</v>
      </c>
      <c r="I718" s="41">
        <f t="shared" si="1515"/>
        <v>2429</v>
      </c>
      <c r="J718" s="41">
        <f t="shared" ref="J718:M718" si="1516">IF(J705="No",0,J971)</f>
        <v>1351</v>
      </c>
      <c r="K718" s="41">
        <f t="shared" si="1516"/>
        <v>1351</v>
      </c>
      <c r="L718" s="41">
        <f t="shared" si="1516"/>
        <v>1351</v>
      </c>
      <c r="M718" s="41">
        <f t="shared" si="1516"/>
        <v>1351</v>
      </c>
    </row>
    <row r="719" spans="1:13" ht="15" customHeight="1">
      <c r="A719" s="103" t="s">
        <v>503</v>
      </c>
      <c r="B719" s="41">
        <f t="shared" ref="B719:I719" si="1517">IF(B705="No",0,B972)</f>
        <v>2872</v>
      </c>
      <c r="C719" s="41">
        <f t="shared" si="1517"/>
        <v>3381</v>
      </c>
      <c r="D719" s="41">
        <f t="shared" si="1517"/>
        <v>2429</v>
      </c>
      <c r="E719" s="41">
        <f t="shared" si="1517"/>
        <v>2429</v>
      </c>
      <c r="F719" s="41">
        <f t="shared" si="1517"/>
        <v>1782</v>
      </c>
      <c r="G719" s="41">
        <f t="shared" si="1517"/>
        <v>1782</v>
      </c>
      <c r="H719" s="41">
        <f t="shared" si="1517"/>
        <v>1782</v>
      </c>
      <c r="I719" s="41">
        <f t="shared" si="1517"/>
        <v>0</v>
      </c>
      <c r="J719" s="41">
        <f t="shared" ref="J719:M719" si="1518">IF(J705="No",0,J972)</f>
        <v>965</v>
      </c>
      <c r="K719" s="41">
        <f t="shared" si="1518"/>
        <v>965</v>
      </c>
      <c r="L719" s="41">
        <f t="shared" si="1518"/>
        <v>965</v>
      </c>
      <c r="M719" s="41">
        <f t="shared" si="1518"/>
        <v>965</v>
      </c>
    </row>
    <row r="720" spans="1:13" ht="15" customHeight="1">
      <c r="A720" s="103" t="s">
        <v>504</v>
      </c>
      <c r="B720" s="41">
        <f t="shared" ref="B720:I720" si="1519">IF(B705="No",0,B973)</f>
        <v>2114</v>
      </c>
      <c r="C720" s="41">
        <f t="shared" si="1519"/>
        <v>2114</v>
      </c>
      <c r="D720" s="41">
        <f t="shared" si="1519"/>
        <v>1782</v>
      </c>
      <c r="E720" s="41">
        <f t="shared" si="1519"/>
        <v>1782</v>
      </c>
      <c r="F720" s="41">
        <f t="shared" si="1519"/>
        <v>1523</v>
      </c>
      <c r="G720" s="41">
        <f t="shared" si="1519"/>
        <v>1523</v>
      </c>
      <c r="H720" s="41">
        <f t="shared" si="1519"/>
        <v>1333</v>
      </c>
      <c r="I720" s="41">
        <f t="shared" si="1519"/>
        <v>1333</v>
      </c>
      <c r="J720" s="41">
        <f t="shared" ref="J720:M720" si="1520">IF(J705="No",0,J973)</f>
        <v>1224</v>
      </c>
      <c r="K720" s="41">
        <f t="shared" si="1520"/>
        <v>1224</v>
      </c>
      <c r="L720" s="41">
        <f t="shared" si="1520"/>
        <v>1109</v>
      </c>
      <c r="M720" s="41">
        <f t="shared" si="1520"/>
        <v>1109</v>
      </c>
    </row>
    <row r="721" spans="1:13" ht="15" customHeight="1">
      <c r="A721" s="103" t="s">
        <v>350</v>
      </c>
      <c r="B721" s="41">
        <f t="shared" ref="B721:I721" si="1521">IF(B705="No",0,B974)</f>
        <v>1523</v>
      </c>
      <c r="C721" s="41">
        <f t="shared" si="1521"/>
        <v>1523</v>
      </c>
      <c r="D721" s="41">
        <f t="shared" si="1521"/>
        <v>1333</v>
      </c>
      <c r="E721" s="41">
        <f t="shared" si="1521"/>
        <v>1333</v>
      </c>
      <c r="F721" s="41">
        <f t="shared" si="1521"/>
        <v>1224</v>
      </c>
      <c r="G721" s="41">
        <f t="shared" si="1521"/>
        <v>1224</v>
      </c>
      <c r="H721" s="41">
        <f t="shared" si="1521"/>
        <v>1109</v>
      </c>
      <c r="I721" s="41">
        <f t="shared" si="1521"/>
        <v>1109</v>
      </c>
      <c r="J721" s="41">
        <f t="shared" ref="J721:M721" si="1522">IF(J705="No",0,J974)</f>
        <v>934</v>
      </c>
      <c r="K721" s="41">
        <f t="shared" si="1522"/>
        <v>934</v>
      </c>
      <c r="L721" s="41">
        <f t="shared" si="1522"/>
        <v>782</v>
      </c>
      <c r="M721" s="41">
        <f t="shared" si="1522"/>
        <v>782</v>
      </c>
    </row>
    <row r="722" spans="1:13" ht="15" customHeight="1">
      <c r="A722" s="103" t="s">
        <v>351</v>
      </c>
      <c r="B722" s="41">
        <f t="shared" ref="B722:I722" si="1523">IF(B705="No",0,B975)</f>
        <v>1224</v>
      </c>
      <c r="C722" s="41">
        <f t="shared" si="1523"/>
        <v>1224</v>
      </c>
      <c r="D722" s="41">
        <f t="shared" si="1523"/>
        <v>1109</v>
      </c>
      <c r="E722" s="41">
        <f t="shared" si="1523"/>
        <v>1109</v>
      </c>
      <c r="F722" s="41">
        <f t="shared" si="1523"/>
        <v>934</v>
      </c>
      <c r="G722" s="41">
        <f t="shared" si="1523"/>
        <v>934</v>
      </c>
      <c r="H722" s="41">
        <f t="shared" si="1523"/>
        <v>782</v>
      </c>
      <c r="I722" s="41">
        <f t="shared" si="1523"/>
        <v>782</v>
      </c>
      <c r="J722" s="41">
        <f t="shared" ref="J722:M722" si="1524">IF(J705="No",0,J975)</f>
        <v>721</v>
      </c>
      <c r="K722" s="41">
        <f t="shared" si="1524"/>
        <v>721</v>
      </c>
      <c r="L722" s="41">
        <f t="shared" si="1524"/>
        <v>712</v>
      </c>
      <c r="M722" s="41">
        <f t="shared" si="1524"/>
        <v>712</v>
      </c>
    </row>
    <row r="723" spans="1:13" ht="15" customHeight="1">
      <c r="A723" s="103" t="s">
        <v>352</v>
      </c>
      <c r="B723" s="41">
        <f t="shared" ref="B723:I723" si="1525">IF(B705="No",0,B976)</f>
        <v>934</v>
      </c>
      <c r="C723" s="41">
        <f t="shared" si="1525"/>
        <v>934</v>
      </c>
      <c r="D723" s="41">
        <f t="shared" si="1525"/>
        <v>782</v>
      </c>
      <c r="E723" s="41">
        <f t="shared" si="1525"/>
        <v>782</v>
      </c>
      <c r="F723" s="41">
        <f t="shared" si="1525"/>
        <v>721</v>
      </c>
      <c r="G723" s="41">
        <f t="shared" si="1525"/>
        <v>721</v>
      </c>
      <c r="H723" s="41">
        <f t="shared" si="1525"/>
        <v>712</v>
      </c>
      <c r="I723" s="41">
        <f t="shared" si="1525"/>
        <v>712</v>
      </c>
      <c r="J723" s="41">
        <f t="shared" ref="J723:M723" si="1526">IF(J705="No",0,J976)</f>
        <v>650</v>
      </c>
      <c r="K723" s="41">
        <f t="shared" si="1526"/>
        <v>650</v>
      </c>
      <c r="L723" s="41">
        <f t="shared" si="1526"/>
        <v>534</v>
      </c>
      <c r="M723" s="41">
        <f t="shared" si="1526"/>
        <v>534</v>
      </c>
    </row>
    <row r="724" spans="1:13" ht="15" customHeight="1">
      <c r="A724" s="103" t="s">
        <v>353</v>
      </c>
      <c r="B724" s="41">
        <f t="shared" ref="B724:I724" si="1527">IF(B705="No",0,B977)</f>
        <v>721</v>
      </c>
      <c r="C724" s="41">
        <f t="shared" si="1527"/>
        <v>721</v>
      </c>
      <c r="D724" s="41">
        <f t="shared" si="1527"/>
        <v>712</v>
      </c>
      <c r="E724" s="41">
        <f t="shared" si="1527"/>
        <v>712</v>
      </c>
      <c r="F724" s="41">
        <f t="shared" si="1527"/>
        <v>650</v>
      </c>
      <c r="G724" s="41">
        <f t="shared" si="1527"/>
        <v>650</v>
      </c>
      <c r="H724" s="41">
        <f t="shared" si="1527"/>
        <v>534</v>
      </c>
      <c r="I724" s="41">
        <f t="shared" si="1527"/>
        <v>534</v>
      </c>
      <c r="J724" s="41">
        <f t="shared" ref="J724:M724" si="1528">IF(J705="No",0,J977)</f>
        <v>489</v>
      </c>
      <c r="K724" s="41">
        <f t="shared" si="1528"/>
        <v>489</v>
      </c>
      <c r="L724" s="41">
        <f t="shared" si="1528"/>
        <v>489</v>
      </c>
      <c r="M724" s="41">
        <f t="shared" si="1528"/>
        <v>489</v>
      </c>
    </row>
    <row r="725" spans="1:13" ht="15" customHeight="1">
      <c r="A725" s="103" t="s">
        <v>354</v>
      </c>
      <c r="B725" s="41">
        <f t="shared" ref="B725:I725" si="1529">IF(B705="No",0,B978)</f>
        <v>650</v>
      </c>
      <c r="C725" s="41">
        <f t="shared" si="1529"/>
        <v>650</v>
      </c>
      <c r="D725" s="41">
        <f t="shared" si="1529"/>
        <v>534</v>
      </c>
      <c r="E725" s="41">
        <f t="shared" si="1529"/>
        <v>534</v>
      </c>
      <c r="F725" s="41">
        <f t="shared" si="1529"/>
        <v>489</v>
      </c>
      <c r="G725" s="41">
        <f t="shared" si="1529"/>
        <v>489</v>
      </c>
      <c r="H725" s="41">
        <f t="shared" si="1529"/>
        <v>489</v>
      </c>
      <c r="I725" s="41">
        <f t="shared" si="1529"/>
        <v>489</v>
      </c>
      <c r="J725" s="41">
        <f t="shared" ref="J725:M725" si="1530">IF(J705="No",0,J978)</f>
        <v>453</v>
      </c>
      <c r="K725" s="41">
        <f t="shared" si="1530"/>
        <v>453</v>
      </c>
      <c r="L725" s="41">
        <f t="shared" si="1530"/>
        <v>471</v>
      </c>
      <c r="M725" s="41">
        <f t="shared" si="1530"/>
        <v>471</v>
      </c>
    </row>
    <row r="726" spans="1:13" ht="15" customHeight="1">
      <c r="A726" s="103" t="s">
        <v>355</v>
      </c>
      <c r="B726" s="41">
        <f t="shared" ref="B726:I726" si="1531">IF(B705="No",0,B979)</f>
        <v>489</v>
      </c>
      <c r="C726" s="41">
        <f t="shared" si="1531"/>
        <v>489</v>
      </c>
      <c r="D726" s="41">
        <f t="shared" si="1531"/>
        <v>489</v>
      </c>
      <c r="E726" s="41">
        <f t="shared" si="1531"/>
        <v>489</v>
      </c>
      <c r="F726" s="41">
        <f t="shared" si="1531"/>
        <v>453</v>
      </c>
      <c r="G726" s="41">
        <f t="shared" si="1531"/>
        <v>453</v>
      </c>
      <c r="H726" s="41">
        <f t="shared" si="1531"/>
        <v>471</v>
      </c>
      <c r="I726" s="41">
        <f t="shared" si="1531"/>
        <v>471</v>
      </c>
      <c r="J726" s="41">
        <f t="shared" ref="J726:M726" si="1532">IF(J705="No",0,J979)</f>
        <v>425</v>
      </c>
      <c r="K726" s="41">
        <f t="shared" si="1532"/>
        <v>425</v>
      </c>
      <c r="L726" s="41">
        <f t="shared" si="1532"/>
        <v>446</v>
      </c>
      <c r="M726" s="41">
        <f t="shared" si="1532"/>
        <v>446</v>
      </c>
    </row>
    <row r="727" spans="1:13" ht="15" customHeight="1">
      <c r="A727" s="103"/>
      <c r="B727" s="41"/>
      <c r="C727" s="41"/>
      <c r="D727" s="41"/>
      <c r="E727" s="41"/>
      <c r="F727" s="41"/>
      <c r="G727" s="41"/>
      <c r="H727" s="41"/>
      <c r="I727" s="41"/>
      <c r="J727" s="41"/>
      <c r="K727" s="41"/>
      <c r="L727" s="41"/>
      <c r="M727" s="41"/>
    </row>
    <row r="729" spans="1:13" ht="15" customHeight="1">
      <c r="A729" s="23" t="s">
        <v>436</v>
      </c>
      <c r="B729" s="26"/>
      <c r="C729" s="26"/>
      <c r="D729" s="26"/>
      <c r="E729" s="26"/>
      <c r="F729" s="26"/>
      <c r="G729" s="26"/>
      <c r="H729" s="26"/>
      <c r="I729" s="26"/>
      <c r="J729" s="26"/>
      <c r="K729" s="26"/>
      <c r="L729" s="26"/>
      <c r="M729" s="26"/>
    </row>
    <row r="730" spans="1:13" ht="15" customHeight="1">
      <c r="A730" s="3" t="s">
        <v>437</v>
      </c>
      <c r="B730" s="13">
        <f t="shared" ref="B730:I730" si="1533">B732*B731</f>
        <v>0</v>
      </c>
      <c r="C730" s="13">
        <f t="shared" si="1533"/>
        <v>0</v>
      </c>
      <c r="D730" s="13">
        <f t="shared" si="1533"/>
        <v>0</v>
      </c>
      <c r="E730" s="13">
        <f t="shared" si="1533"/>
        <v>0</v>
      </c>
      <c r="F730" s="13">
        <f t="shared" si="1533"/>
        <v>0</v>
      </c>
      <c r="G730" s="13">
        <f t="shared" si="1533"/>
        <v>0</v>
      </c>
      <c r="H730" s="13">
        <f t="shared" si="1533"/>
        <v>0</v>
      </c>
      <c r="I730" s="13">
        <f t="shared" si="1533"/>
        <v>0</v>
      </c>
      <c r="J730" s="13">
        <f t="shared" ref="J730:M730" si="1534">J732*J731</f>
        <v>0</v>
      </c>
      <c r="K730" s="13">
        <f t="shared" si="1534"/>
        <v>0</v>
      </c>
      <c r="L730" s="13">
        <f t="shared" si="1534"/>
        <v>0</v>
      </c>
      <c r="M730" s="13">
        <f t="shared" si="1534"/>
        <v>0</v>
      </c>
    </row>
    <row r="731" spans="1:13" ht="15" customHeight="1">
      <c r="A731" s="103" t="s">
        <v>440</v>
      </c>
      <c r="B731" s="122">
        <f t="shared" ref="B731:I732" si="1535">B987</f>
        <v>1</v>
      </c>
      <c r="C731" s="122">
        <f t="shared" si="1535"/>
        <v>1</v>
      </c>
      <c r="D731" s="122">
        <f t="shared" si="1535"/>
        <v>1</v>
      </c>
      <c r="E731" s="122">
        <f t="shared" si="1535"/>
        <v>1</v>
      </c>
      <c r="F731" s="122">
        <f t="shared" si="1535"/>
        <v>1</v>
      </c>
      <c r="G731" s="122">
        <f t="shared" si="1535"/>
        <v>1</v>
      </c>
      <c r="H731" s="122">
        <f t="shared" si="1535"/>
        <v>1</v>
      </c>
      <c r="I731" s="122">
        <f t="shared" si="1535"/>
        <v>1</v>
      </c>
      <c r="J731" s="122">
        <f t="shared" ref="J731:M731" si="1536">J987</f>
        <v>1</v>
      </c>
      <c r="K731" s="122">
        <f t="shared" si="1536"/>
        <v>1</v>
      </c>
      <c r="L731" s="122">
        <f t="shared" si="1536"/>
        <v>1</v>
      </c>
      <c r="M731" s="122">
        <f t="shared" si="1536"/>
        <v>1</v>
      </c>
    </row>
    <row r="732" spans="1:13" ht="15" customHeight="1">
      <c r="A732" s="103" t="s">
        <v>69</v>
      </c>
      <c r="B732" s="41">
        <f t="shared" si="1535"/>
        <v>0</v>
      </c>
      <c r="C732" s="41">
        <f t="shared" si="1535"/>
        <v>0</v>
      </c>
      <c r="D732" s="41">
        <f t="shared" si="1535"/>
        <v>0</v>
      </c>
      <c r="E732" s="41">
        <f t="shared" si="1535"/>
        <v>0</v>
      </c>
      <c r="F732" s="41">
        <f t="shared" si="1535"/>
        <v>0</v>
      </c>
      <c r="G732" s="41">
        <f t="shared" si="1535"/>
        <v>0</v>
      </c>
      <c r="H732" s="41">
        <f t="shared" si="1535"/>
        <v>0</v>
      </c>
      <c r="I732" s="41">
        <f t="shared" si="1535"/>
        <v>0</v>
      </c>
      <c r="J732" s="41">
        <f t="shared" ref="J732:M732" si="1537">J988</f>
        <v>0</v>
      </c>
      <c r="K732" s="41">
        <f t="shared" si="1537"/>
        <v>0</v>
      </c>
      <c r="L732" s="41">
        <f t="shared" si="1537"/>
        <v>0</v>
      </c>
      <c r="M732" s="41">
        <f t="shared" si="1537"/>
        <v>0</v>
      </c>
    </row>
    <row r="733" spans="1:13" ht="15" customHeight="1">
      <c r="A733" s="103"/>
      <c r="B733" s="41"/>
      <c r="C733" s="41"/>
      <c r="D733" s="41"/>
      <c r="E733" s="41"/>
      <c r="F733" s="41"/>
      <c r="G733" s="41"/>
      <c r="H733" s="41"/>
      <c r="I733" s="41"/>
      <c r="J733" s="41"/>
      <c r="K733" s="41"/>
      <c r="L733" s="41"/>
      <c r="M733" s="41"/>
    </row>
    <row r="734" spans="1:13" ht="15" customHeight="1">
      <c r="A734" s="104"/>
      <c r="B734" s="50"/>
      <c r="C734" s="50"/>
      <c r="D734" s="50"/>
      <c r="E734" s="50"/>
      <c r="F734" s="50"/>
      <c r="G734" s="50"/>
      <c r="H734" s="50"/>
      <c r="I734" s="50"/>
      <c r="J734" s="50"/>
      <c r="K734" s="50"/>
      <c r="L734" s="50"/>
      <c r="M734" s="50"/>
    </row>
    <row r="735" spans="1:13" ht="15" customHeight="1">
      <c r="A735" s="23" t="s">
        <v>432</v>
      </c>
      <c r="B735" s="26"/>
      <c r="C735" s="26"/>
      <c r="D735" s="26"/>
      <c r="E735" s="26"/>
      <c r="F735" s="26"/>
      <c r="G735" s="26"/>
      <c r="H735" s="26"/>
      <c r="I735" s="26"/>
      <c r="J735" s="26"/>
      <c r="K735" s="26"/>
      <c r="L735" s="26"/>
      <c r="M735" s="26"/>
    </row>
    <row r="736" spans="1:13" ht="15" customHeight="1">
      <c r="A736" s="3" t="s">
        <v>324</v>
      </c>
      <c r="B736" s="13">
        <f t="shared" ref="B736:I736" si="1538">B738*B737</f>
        <v>0</v>
      </c>
      <c r="C736" s="13">
        <f t="shared" si="1538"/>
        <v>0</v>
      </c>
      <c r="D736" s="13">
        <f t="shared" si="1538"/>
        <v>0</v>
      </c>
      <c r="E736" s="13">
        <f t="shared" si="1538"/>
        <v>0</v>
      </c>
      <c r="F736" s="13">
        <f t="shared" si="1538"/>
        <v>0</v>
      </c>
      <c r="G736" s="13">
        <f t="shared" si="1538"/>
        <v>0</v>
      </c>
      <c r="H736" s="13">
        <f t="shared" si="1538"/>
        <v>0</v>
      </c>
      <c r="I736" s="13">
        <f t="shared" si="1538"/>
        <v>0</v>
      </c>
      <c r="J736" s="13">
        <f t="shared" ref="J736:M736" si="1539">J738*J737</f>
        <v>0</v>
      </c>
      <c r="K736" s="13">
        <f t="shared" si="1539"/>
        <v>0</v>
      </c>
      <c r="L736" s="13">
        <f t="shared" si="1539"/>
        <v>0</v>
      </c>
      <c r="M736" s="13">
        <f t="shared" si="1539"/>
        <v>0</v>
      </c>
    </row>
    <row r="737" spans="1:13" ht="15" customHeight="1">
      <c r="A737" s="103" t="s">
        <v>440</v>
      </c>
      <c r="B737" s="122">
        <f t="shared" ref="B737:I738" si="1540">B992</f>
        <v>1</v>
      </c>
      <c r="C737" s="122">
        <f t="shared" si="1540"/>
        <v>1</v>
      </c>
      <c r="D737" s="122">
        <f t="shared" si="1540"/>
        <v>1</v>
      </c>
      <c r="E737" s="122">
        <f t="shared" si="1540"/>
        <v>1</v>
      </c>
      <c r="F737" s="122">
        <f t="shared" si="1540"/>
        <v>1</v>
      </c>
      <c r="G737" s="122">
        <f t="shared" si="1540"/>
        <v>1</v>
      </c>
      <c r="H737" s="122">
        <f t="shared" si="1540"/>
        <v>1</v>
      </c>
      <c r="I737" s="122">
        <f t="shared" si="1540"/>
        <v>1</v>
      </c>
      <c r="J737" s="122">
        <f t="shared" ref="J737:M737" si="1541">J992</f>
        <v>1</v>
      </c>
      <c r="K737" s="122">
        <f t="shared" si="1541"/>
        <v>1</v>
      </c>
      <c r="L737" s="122">
        <f t="shared" si="1541"/>
        <v>1</v>
      </c>
      <c r="M737" s="122">
        <f t="shared" si="1541"/>
        <v>1</v>
      </c>
    </row>
    <row r="738" spans="1:13" ht="15" customHeight="1">
      <c r="A738" s="103" t="s">
        <v>69</v>
      </c>
      <c r="B738" s="41">
        <f t="shared" si="1540"/>
        <v>0</v>
      </c>
      <c r="C738" s="41">
        <f t="shared" si="1540"/>
        <v>0</v>
      </c>
      <c r="D738" s="41">
        <f t="shared" si="1540"/>
        <v>0</v>
      </c>
      <c r="E738" s="41">
        <f t="shared" si="1540"/>
        <v>0</v>
      </c>
      <c r="F738" s="41">
        <f t="shared" si="1540"/>
        <v>0</v>
      </c>
      <c r="G738" s="41">
        <f t="shared" si="1540"/>
        <v>0</v>
      </c>
      <c r="H738" s="41">
        <f t="shared" si="1540"/>
        <v>0</v>
      </c>
      <c r="I738" s="41">
        <f t="shared" si="1540"/>
        <v>0</v>
      </c>
      <c r="J738" s="41">
        <f t="shared" ref="J738:M738" si="1542">J993</f>
        <v>0</v>
      </c>
      <c r="K738" s="41">
        <f t="shared" si="1542"/>
        <v>0</v>
      </c>
      <c r="L738" s="41">
        <f t="shared" si="1542"/>
        <v>0</v>
      </c>
      <c r="M738" s="41">
        <f t="shared" si="1542"/>
        <v>0</v>
      </c>
    </row>
    <row r="739" spans="1:13" ht="15" customHeight="1">
      <c r="A739" s="103"/>
      <c r="B739" s="41"/>
      <c r="C739" s="41"/>
      <c r="D739" s="41"/>
      <c r="E739" s="41"/>
      <c r="F739" s="41"/>
      <c r="G739" s="41"/>
      <c r="H739" s="41"/>
      <c r="I739" s="41"/>
      <c r="J739" s="41"/>
      <c r="K739" s="41"/>
      <c r="L739" s="41"/>
      <c r="M739" s="41"/>
    </row>
    <row r="740" spans="1:13" ht="15" customHeight="1">
      <c r="A740" s="104"/>
      <c r="B740" s="50"/>
      <c r="C740" s="50"/>
      <c r="D740" s="50"/>
      <c r="E740" s="50"/>
      <c r="F740" s="50"/>
      <c r="G740" s="50"/>
      <c r="H740" s="50"/>
      <c r="I740" s="50"/>
      <c r="J740" s="50"/>
      <c r="K740" s="50"/>
      <c r="L740" s="50"/>
      <c r="M740" s="50"/>
    </row>
    <row r="741" spans="1:13" ht="15" customHeight="1">
      <c r="A741" s="23" t="s">
        <v>339</v>
      </c>
      <c r="B741" s="26"/>
      <c r="C741" s="26"/>
      <c r="D741" s="26"/>
      <c r="E741" s="26"/>
      <c r="F741" s="26"/>
      <c r="G741" s="26"/>
      <c r="H741" s="26"/>
      <c r="I741" s="26"/>
      <c r="J741" s="26"/>
      <c r="K741" s="26"/>
      <c r="L741" s="26"/>
      <c r="M741" s="26"/>
    </row>
    <row r="742" spans="1:13" ht="15" customHeight="1">
      <c r="A742" s="3" t="s">
        <v>434</v>
      </c>
      <c r="B742" s="13">
        <f t="shared" ref="B742:I742" si="1543">B744*(1-B743)</f>
        <v>0</v>
      </c>
      <c r="C742" s="13">
        <f t="shared" si="1543"/>
        <v>0</v>
      </c>
      <c r="D742" s="13">
        <f t="shared" si="1543"/>
        <v>0</v>
      </c>
      <c r="E742" s="13">
        <f t="shared" si="1543"/>
        <v>0</v>
      </c>
      <c r="F742" s="13">
        <f t="shared" si="1543"/>
        <v>0</v>
      </c>
      <c r="G742" s="13">
        <f t="shared" si="1543"/>
        <v>0</v>
      </c>
      <c r="H742" s="13">
        <f t="shared" si="1543"/>
        <v>0</v>
      </c>
      <c r="I742" s="13">
        <f t="shared" si="1543"/>
        <v>0</v>
      </c>
      <c r="J742" s="13">
        <f t="shared" ref="J742:M742" si="1544">J744*(1-J743)</f>
        <v>0</v>
      </c>
      <c r="K742" s="13">
        <f t="shared" si="1544"/>
        <v>0</v>
      </c>
      <c r="L742" s="13">
        <f t="shared" si="1544"/>
        <v>0</v>
      </c>
      <c r="M742" s="13">
        <f t="shared" si="1544"/>
        <v>0</v>
      </c>
    </row>
    <row r="743" spans="1:13" ht="15" customHeight="1">
      <c r="A743" s="102" t="s">
        <v>330</v>
      </c>
      <c r="B743" s="36">
        <f t="shared" ref="B743:I744" si="1545">B997</f>
        <v>1</v>
      </c>
      <c r="C743" s="36">
        <f t="shared" si="1545"/>
        <v>1</v>
      </c>
      <c r="D743" s="36">
        <f t="shared" si="1545"/>
        <v>1</v>
      </c>
      <c r="E743" s="36">
        <f t="shared" si="1545"/>
        <v>1</v>
      </c>
      <c r="F743" s="36">
        <f t="shared" si="1545"/>
        <v>1</v>
      </c>
      <c r="G743" s="36">
        <f t="shared" si="1545"/>
        <v>1</v>
      </c>
      <c r="H743" s="36">
        <f t="shared" si="1545"/>
        <v>1</v>
      </c>
      <c r="I743" s="36">
        <f t="shared" si="1545"/>
        <v>1</v>
      </c>
      <c r="J743" s="36">
        <f t="shared" ref="J743:M743" si="1546">J997</f>
        <v>1</v>
      </c>
      <c r="K743" s="36">
        <f t="shared" si="1546"/>
        <v>1</v>
      </c>
      <c r="L743" s="36">
        <f t="shared" si="1546"/>
        <v>1</v>
      </c>
      <c r="M743" s="36">
        <f t="shared" si="1546"/>
        <v>1</v>
      </c>
    </row>
    <row r="744" spans="1:13" ht="15" customHeight="1">
      <c r="A744" s="103" t="s">
        <v>69</v>
      </c>
      <c r="B744" s="47">
        <f t="shared" si="1545"/>
        <v>4711</v>
      </c>
      <c r="C744" s="47">
        <f t="shared" si="1545"/>
        <v>4629</v>
      </c>
      <c r="D744" s="47">
        <f t="shared" si="1545"/>
        <v>4616</v>
      </c>
      <c r="E744" s="47">
        <f t="shared" si="1545"/>
        <v>2374</v>
      </c>
      <c r="F744" s="47">
        <f t="shared" si="1545"/>
        <v>2055</v>
      </c>
      <c r="G744" s="47">
        <f t="shared" si="1545"/>
        <v>2022</v>
      </c>
      <c r="H744" s="47">
        <f t="shared" si="1545"/>
        <v>1577</v>
      </c>
      <c r="I744" s="47">
        <f t="shared" si="1545"/>
        <v>1522</v>
      </c>
      <c r="J744" s="47">
        <f t="shared" ref="J744:M744" si="1547">J998</f>
        <v>1400</v>
      </c>
      <c r="K744" s="47">
        <f t="shared" si="1547"/>
        <v>1381</v>
      </c>
      <c r="L744" s="47">
        <f t="shared" si="1547"/>
        <v>1135</v>
      </c>
      <c r="M744" s="47">
        <f t="shared" si="1547"/>
        <v>1132</v>
      </c>
    </row>
    <row r="745" spans="1:13" ht="15" customHeight="1">
      <c r="A745" s="103"/>
      <c r="B745" s="47"/>
      <c r="C745" s="47"/>
      <c r="D745" s="47"/>
      <c r="E745" s="47"/>
      <c r="F745" s="47"/>
      <c r="G745" s="47"/>
      <c r="H745" s="47"/>
      <c r="I745" s="47"/>
      <c r="J745" s="47"/>
      <c r="K745" s="47"/>
      <c r="L745" s="47"/>
      <c r="M745" s="47"/>
    </row>
    <row r="746" spans="1:13" ht="15" customHeight="1">
      <c r="A746" s="103"/>
      <c r="B746" s="47"/>
      <c r="C746" s="47"/>
      <c r="D746" s="47"/>
      <c r="E746" s="47"/>
      <c r="F746" s="47"/>
      <c r="G746" s="47"/>
      <c r="H746" s="47"/>
      <c r="I746" s="47"/>
      <c r="J746" s="47"/>
      <c r="K746" s="47"/>
      <c r="L746" s="47"/>
      <c r="M746" s="47"/>
    </row>
    <row r="747" spans="1:13" ht="15" customHeight="1">
      <c r="A747" s="103"/>
      <c r="B747" s="47"/>
      <c r="C747" s="47"/>
      <c r="D747" s="47"/>
      <c r="E747" s="47"/>
      <c r="F747" s="47"/>
      <c r="G747" s="47"/>
      <c r="H747" s="47"/>
      <c r="I747" s="47"/>
      <c r="J747" s="47"/>
      <c r="K747" s="47"/>
      <c r="L747" s="47"/>
      <c r="M747" s="47"/>
    </row>
    <row r="749" spans="1:13" ht="15" customHeight="1">
      <c r="A749" s="2" t="s">
        <v>489</v>
      </c>
      <c r="B749" s="6"/>
      <c r="C749" s="6"/>
      <c r="D749" s="6"/>
      <c r="E749" s="6"/>
      <c r="F749" s="6"/>
      <c r="G749" s="6"/>
      <c r="H749" s="6"/>
      <c r="I749" s="6"/>
      <c r="J749" s="6"/>
      <c r="K749" s="6"/>
      <c r="L749" s="6"/>
      <c r="M749" s="6"/>
    </row>
    <row r="751" spans="1:13" ht="15" customHeight="1">
      <c r="A751" s="8" t="s">
        <v>137</v>
      </c>
      <c r="B751" s="33">
        <f t="shared" ref="B751:I751" si="1548">MATCH(B$16,$A752:$A754,0)</f>
        <v>1</v>
      </c>
      <c r="C751" s="33">
        <f t="shared" si="1548"/>
        <v>1</v>
      </c>
      <c r="D751" s="33">
        <f t="shared" si="1548"/>
        <v>1</v>
      </c>
      <c r="E751" s="33">
        <f t="shared" si="1548"/>
        <v>1</v>
      </c>
      <c r="F751" s="33">
        <f t="shared" si="1548"/>
        <v>1</v>
      </c>
      <c r="G751" s="33">
        <f t="shared" si="1548"/>
        <v>1</v>
      </c>
      <c r="H751" s="33">
        <f t="shared" si="1548"/>
        <v>1</v>
      </c>
      <c r="I751" s="33">
        <f t="shared" si="1548"/>
        <v>1</v>
      </c>
      <c r="J751" s="33">
        <f t="shared" ref="J751:M751" si="1549">MATCH(J$16,$A752:$A754,0)</f>
        <v>1</v>
      </c>
      <c r="K751" s="33">
        <f t="shared" si="1549"/>
        <v>1</v>
      </c>
      <c r="L751" s="33">
        <f t="shared" si="1549"/>
        <v>1</v>
      </c>
      <c r="M751" s="33">
        <f t="shared" si="1549"/>
        <v>1</v>
      </c>
    </row>
    <row r="752" spans="1:13" ht="15" customHeight="1">
      <c r="A752" s="3" t="s">
        <v>138</v>
      </c>
      <c r="B752" s="56">
        <f t="shared" ref="B752:I753" si="1550">B550</f>
        <v>2.9499999999999998E-2</v>
      </c>
      <c r="C752" s="56">
        <f t="shared" si="1550"/>
        <v>0.03</v>
      </c>
      <c r="D752" s="56">
        <f t="shared" si="1550"/>
        <v>3.4799999999999998E-2</v>
      </c>
      <c r="E752" s="56">
        <f t="shared" si="1550"/>
        <v>3.5999999999999997E-2</v>
      </c>
      <c r="F752" s="56">
        <f t="shared" si="1550"/>
        <v>3.6999999999999998E-2</v>
      </c>
      <c r="G752" s="56">
        <f t="shared" si="1550"/>
        <v>3.7199999999999997E-2</v>
      </c>
      <c r="H752" s="56">
        <f t="shared" si="1550"/>
        <v>4.0399999999999998E-2</v>
      </c>
      <c r="I752" s="56">
        <f t="shared" si="1550"/>
        <v>0.04</v>
      </c>
      <c r="J752" s="56">
        <f t="shared" ref="J752:M752" si="1551">J550</f>
        <v>2.7500000000000004E-2</v>
      </c>
      <c r="K752" s="56">
        <f t="shared" si="1551"/>
        <v>2.7299999999999998E-2</v>
      </c>
      <c r="L752" s="56">
        <f t="shared" si="1551"/>
        <v>2.7999999999999997E-2</v>
      </c>
      <c r="M752" s="56">
        <f t="shared" si="1551"/>
        <v>2.6700000000000002E-2</v>
      </c>
    </row>
    <row r="753" spans="1:13" ht="15" customHeight="1">
      <c r="A753" s="3" t="s">
        <v>136</v>
      </c>
      <c r="B753" s="56">
        <f t="shared" ca="1" si="1550"/>
        <v>2.7E-2</v>
      </c>
      <c r="C753" s="56">
        <f t="shared" ca="1" si="1550"/>
        <v>2.75E-2</v>
      </c>
      <c r="D753" s="56">
        <f t="shared" ca="1" si="1550"/>
        <v>3.2299999999999995E-2</v>
      </c>
      <c r="E753" s="56">
        <f t="shared" ca="1" si="1550"/>
        <v>3.3500000000000002E-2</v>
      </c>
      <c r="F753" s="56">
        <f t="shared" ca="1" si="1550"/>
        <v>3.4500000000000003E-2</v>
      </c>
      <c r="G753" s="56">
        <f t="shared" ca="1" si="1550"/>
        <v>3.4699999999999995E-2</v>
      </c>
      <c r="H753" s="56">
        <f t="shared" ca="1" si="1550"/>
        <v>3.7900000000000003E-2</v>
      </c>
      <c r="I753" s="56">
        <f t="shared" ca="1" si="1550"/>
        <v>3.7499999999999999E-2</v>
      </c>
      <c r="J753" s="56">
        <f t="shared" ref="J753:M753" ca="1" si="1552">J551</f>
        <v>2.5000000000000001E-2</v>
      </c>
      <c r="K753" s="56">
        <f t="shared" ca="1" si="1552"/>
        <v>2.4799999999999999E-2</v>
      </c>
      <c r="L753" s="56">
        <f t="shared" ca="1" si="1552"/>
        <v>2.5499999999999998E-2</v>
      </c>
      <c r="M753" s="56">
        <f t="shared" ca="1" si="1552"/>
        <v>2.4199999999999999E-2</v>
      </c>
    </row>
    <row r="754" spans="1:13" ht="15" customHeight="1">
      <c r="A754" s="3" t="s">
        <v>139</v>
      </c>
      <c r="B754" s="24">
        <v>3.5000000000000003E-2</v>
      </c>
      <c r="C754" s="24">
        <v>3.5000000000000003E-2</v>
      </c>
      <c r="D754" s="24">
        <v>3.5000000000000003E-2</v>
      </c>
      <c r="E754" s="24">
        <v>3.5000000000000003E-2</v>
      </c>
      <c r="F754" s="24">
        <v>3.5000000000000003E-2</v>
      </c>
      <c r="G754" s="24">
        <v>3.5000000000000003E-2</v>
      </c>
      <c r="H754" s="24">
        <v>3.5000000000000003E-2</v>
      </c>
      <c r="I754" s="24">
        <v>3.5000000000000003E-2</v>
      </c>
      <c r="J754" s="24">
        <v>3.5000000000000003E-2</v>
      </c>
      <c r="K754" s="24">
        <v>3.5000000000000003E-2</v>
      </c>
      <c r="L754" s="24">
        <v>3.5000000000000003E-2</v>
      </c>
      <c r="M754" s="24">
        <v>3.5000000000000003E-2</v>
      </c>
    </row>
    <row r="757" spans="1:13" ht="15" customHeight="1">
      <c r="A757" s="8" t="s">
        <v>67</v>
      </c>
      <c r="B757" s="33">
        <f t="shared" ref="B757:I757" si="1553">MATCH(B$18,$A758:$A759,0)</f>
        <v>1</v>
      </c>
      <c r="C757" s="33">
        <f t="shared" si="1553"/>
        <v>1</v>
      </c>
      <c r="D757" s="33">
        <f t="shared" si="1553"/>
        <v>1</v>
      </c>
      <c r="E757" s="33">
        <f t="shared" si="1553"/>
        <v>1</v>
      </c>
      <c r="F757" s="33">
        <f t="shared" si="1553"/>
        <v>1</v>
      </c>
      <c r="G757" s="33">
        <f t="shared" si="1553"/>
        <v>1</v>
      </c>
      <c r="H757" s="33">
        <f t="shared" si="1553"/>
        <v>1</v>
      </c>
      <c r="I757" s="33">
        <f t="shared" si="1553"/>
        <v>1</v>
      </c>
      <c r="J757" s="33">
        <f t="shared" ref="J757:M757" si="1554">MATCH(J$18,$A758:$A759,0)</f>
        <v>1</v>
      </c>
      <c r="K757" s="33">
        <f t="shared" si="1554"/>
        <v>1</v>
      </c>
      <c r="L757" s="33">
        <f t="shared" si="1554"/>
        <v>1</v>
      </c>
      <c r="M757" s="33">
        <f t="shared" si="1554"/>
        <v>1</v>
      </c>
    </row>
    <row r="758" spans="1:13" ht="15" customHeight="1">
      <c r="A758" s="3" t="s">
        <v>506</v>
      </c>
      <c r="B758" s="34">
        <f t="shared" ref="B758:I758" si="1555">B432</f>
        <v>1.0510200962651641</v>
      </c>
      <c r="C758" s="34">
        <f t="shared" si="1555"/>
        <v>1.0510200962651641</v>
      </c>
      <c r="D758" s="34">
        <f t="shared" si="1555"/>
        <v>1.0510200962651641</v>
      </c>
      <c r="E758" s="34">
        <f t="shared" si="1555"/>
        <v>1.2457669250257106</v>
      </c>
      <c r="F758" s="34">
        <f t="shared" si="1555"/>
        <v>1.2444335127542099</v>
      </c>
      <c r="G758" s="34">
        <f t="shared" si="1555"/>
        <v>1.2444335127542099</v>
      </c>
      <c r="H758" s="34">
        <f t="shared" si="1555"/>
        <v>1.2444335127542099</v>
      </c>
      <c r="I758" s="34">
        <f t="shared" si="1555"/>
        <v>1.3559317585301836</v>
      </c>
      <c r="J758" s="34">
        <f t="shared" ref="J758:M758" si="1556">J432</f>
        <v>1.3391167575203289</v>
      </c>
      <c r="K758" s="34">
        <f t="shared" si="1556"/>
        <v>1.3391167575203289</v>
      </c>
      <c r="L758" s="34">
        <f t="shared" si="1556"/>
        <v>1.442151128762263</v>
      </c>
      <c r="M758" s="34">
        <f t="shared" si="1556"/>
        <v>1.442151128762263</v>
      </c>
    </row>
    <row r="759" spans="1:13" ht="15" customHeight="1">
      <c r="A759" s="3" t="s">
        <v>3</v>
      </c>
      <c r="B759" s="84">
        <f t="shared" ref="B759:I759" ca="1" si="1557">1.2/(1+(1-B424)*B425)</f>
        <v>1.1522086595283281</v>
      </c>
      <c r="C759" s="84">
        <f t="shared" ca="1" si="1557"/>
        <v>1.1615439613048617</v>
      </c>
      <c r="D759" s="84">
        <f t="shared" ca="1" si="1557"/>
        <v>1.1535387370500516</v>
      </c>
      <c r="E759" s="84">
        <f t="shared" ca="1" si="1557"/>
        <v>1.1748030939123235</v>
      </c>
      <c r="F759" s="84">
        <f t="shared" ca="1" si="1557"/>
        <v>1.1700647889721738</v>
      </c>
      <c r="G759" s="84">
        <f t="shared" ca="1" si="1557"/>
        <v>1.1704289850923377</v>
      </c>
      <c r="H759" s="84">
        <f t="shared" ca="1" si="1557"/>
        <v>1.1690418834319221</v>
      </c>
      <c r="I759" s="84">
        <f t="shared" ca="1" si="1557"/>
        <v>1.1701212961098726</v>
      </c>
      <c r="J759" s="84">
        <f t="shared" ref="J759:M759" ca="1" si="1558">1.2/(1+(1-J424)*J425)</f>
        <v>1.1849984641069153</v>
      </c>
      <c r="K759" s="84">
        <f t="shared" ca="1" si="1558"/>
        <v>1.1939572529763667</v>
      </c>
      <c r="L759" s="84">
        <f t="shared" ca="1" si="1558"/>
        <v>1.1939816449359297</v>
      </c>
      <c r="M759" s="84">
        <f t="shared" ca="1" si="1558"/>
        <v>1.1962079713554832</v>
      </c>
    </row>
    <row r="762" spans="1:13" ht="15" customHeight="1">
      <c r="A762" s="8" t="s">
        <v>65</v>
      </c>
      <c r="B762" s="33">
        <f t="shared" ref="B762:I762" si="1559">MATCH(B$17,$A763:$A764,0)</f>
        <v>1</v>
      </c>
      <c r="C762" s="33">
        <f t="shared" si="1559"/>
        <v>1</v>
      </c>
      <c r="D762" s="33">
        <f t="shared" si="1559"/>
        <v>1</v>
      </c>
      <c r="E762" s="33">
        <f t="shared" si="1559"/>
        <v>1</v>
      </c>
      <c r="F762" s="33">
        <f t="shared" si="1559"/>
        <v>1</v>
      </c>
      <c r="G762" s="33">
        <f t="shared" si="1559"/>
        <v>1</v>
      </c>
      <c r="H762" s="33">
        <f t="shared" si="1559"/>
        <v>1</v>
      </c>
      <c r="I762" s="33">
        <f t="shared" si="1559"/>
        <v>1</v>
      </c>
      <c r="J762" s="33">
        <f t="shared" ref="J762:M762" si="1560">MATCH(J$17,$A763:$A764,0)</f>
        <v>1</v>
      </c>
      <c r="K762" s="33">
        <f t="shared" si="1560"/>
        <v>1</v>
      </c>
      <c r="L762" s="33">
        <f t="shared" si="1560"/>
        <v>1</v>
      </c>
      <c r="M762" s="33">
        <f t="shared" si="1560"/>
        <v>1</v>
      </c>
    </row>
    <row r="763" spans="1:13" ht="15" customHeight="1">
      <c r="A763" s="3" t="s">
        <v>506</v>
      </c>
      <c r="B763" s="25">
        <f t="shared" ref="B763:I763" si="1561">B494</f>
        <v>6.4352921514986672E-2</v>
      </c>
      <c r="C763" s="25">
        <f t="shared" si="1561"/>
        <v>6.4352921514986672E-2</v>
      </c>
      <c r="D763" s="25">
        <f t="shared" si="1561"/>
        <v>6.5861604653835504E-2</v>
      </c>
      <c r="E763" s="25">
        <f t="shared" si="1561"/>
        <v>6.6287686648085528E-2</v>
      </c>
      <c r="F763" s="25">
        <f t="shared" si="1561"/>
        <v>5.9754749337324775E-2</v>
      </c>
      <c r="G763" s="25">
        <f t="shared" si="1561"/>
        <v>5.9754749337324775E-2</v>
      </c>
      <c r="H763" s="25">
        <f t="shared" si="1561"/>
        <v>5.8254749337324781E-2</v>
      </c>
      <c r="I763" s="25">
        <f t="shared" si="1561"/>
        <v>6.6045728963375794E-2</v>
      </c>
      <c r="J763" s="25">
        <f t="shared" ref="J763:M763" si="1562">J494</f>
        <v>7.4630739752021766E-2</v>
      </c>
      <c r="K763" s="25">
        <f t="shared" si="1562"/>
        <v>7.4463348646386124E-2</v>
      </c>
      <c r="L763" s="25">
        <f t="shared" si="1562"/>
        <v>7.4295957540750482E-2</v>
      </c>
      <c r="M763" s="25">
        <f t="shared" si="1562"/>
        <v>7.4295957540750482E-2</v>
      </c>
    </row>
    <row r="764" spans="1:13" ht="15" customHeight="1">
      <c r="A764" s="3" t="s">
        <v>3</v>
      </c>
      <c r="B764" s="24">
        <v>5.7500000000000002E-2</v>
      </c>
      <c r="C764" s="24">
        <v>5.7500000000000002E-2</v>
      </c>
      <c r="D764" s="24">
        <v>5.7500000000000002E-2</v>
      </c>
      <c r="E764" s="24">
        <v>5.7500000000000002E-2</v>
      </c>
      <c r="F764" s="24">
        <v>5.7500000000000002E-2</v>
      </c>
      <c r="G764" s="24">
        <v>5.7500000000000002E-2</v>
      </c>
      <c r="H764" s="24">
        <v>5.7500000000000002E-2</v>
      </c>
      <c r="I764" s="24">
        <v>5.7500000000000002E-2</v>
      </c>
      <c r="J764" s="24">
        <v>5.7500000000000002E-2</v>
      </c>
      <c r="K764" s="24">
        <v>5.7500000000000002E-2</v>
      </c>
      <c r="L764" s="24">
        <v>5.7500000000000002E-2</v>
      </c>
      <c r="M764" s="24">
        <v>5.7500000000000002E-2</v>
      </c>
    </row>
    <row r="765" spans="1:13" ht="15" customHeight="1">
      <c r="B765" s="24"/>
      <c r="C765" s="24"/>
      <c r="D765" s="24"/>
      <c r="E765" s="24"/>
      <c r="F765" s="24"/>
      <c r="G765" s="24"/>
      <c r="H765" s="24"/>
      <c r="I765" s="24"/>
      <c r="J765" s="24"/>
      <c r="K765" s="24"/>
      <c r="L765" s="24"/>
      <c r="M765" s="24"/>
    </row>
    <row r="766" spans="1:13" ht="15" customHeight="1">
      <c r="A766" s="1"/>
    </row>
    <row r="767" spans="1:13" ht="15" customHeight="1">
      <c r="A767" s="1"/>
    </row>
    <row r="768" spans="1:13" ht="15" customHeight="1">
      <c r="A768" s="2" t="s">
        <v>490</v>
      </c>
      <c r="B768" s="6"/>
      <c r="C768" s="6"/>
      <c r="D768" s="6"/>
      <c r="E768" s="6"/>
      <c r="F768" s="6"/>
      <c r="G768" s="6"/>
      <c r="H768" s="6"/>
      <c r="I768" s="6"/>
      <c r="J768" s="6"/>
      <c r="K768" s="6"/>
      <c r="L768" s="6"/>
      <c r="M768" s="6"/>
    </row>
    <row r="770" spans="1:13" ht="15" customHeight="1">
      <c r="A770" s="23" t="s">
        <v>456</v>
      </c>
      <c r="B770" s="26"/>
      <c r="C770" s="26"/>
      <c r="D770" s="26"/>
      <c r="E770" s="26"/>
      <c r="F770" s="26"/>
      <c r="G770" s="26"/>
      <c r="H770" s="26"/>
      <c r="I770" s="26"/>
      <c r="J770" s="26"/>
      <c r="K770" s="26"/>
      <c r="L770" s="26"/>
      <c r="M770" s="26"/>
    </row>
    <row r="771" spans="1:13" ht="15" customHeight="1">
      <c r="A771" s="3" t="s">
        <v>447</v>
      </c>
      <c r="B771" s="86">
        <v>0</v>
      </c>
      <c r="C771" s="86">
        <v>0</v>
      </c>
      <c r="D771" s="86">
        <v>0</v>
      </c>
      <c r="E771" s="86">
        <v>0</v>
      </c>
      <c r="F771" s="86">
        <v>0</v>
      </c>
      <c r="G771" s="86">
        <v>0</v>
      </c>
      <c r="H771" s="86">
        <v>0</v>
      </c>
      <c r="I771" s="86">
        <v>0</v>
      </c>
      <c r="J771" s="86">
        <v>0</v>
      </c>
      <c r="K771" s="86">
        <v>0</v>
      </c>
      <c r="L771" s="86">
        <v>0</v>
      </c>
      <c r="M771" s="86">
        <v>0</v>
      </c>
    </row>
    <row r="772" spans="1:13" ht="15" customHeight="1">
      <c r="A772" s="3" t="s">
        <v>446</v>
      </c>
      <c r="B772" s="24">
        <v>0</v>
      </c>
      <c r="C772" s="24">
        <v>0</v>
      </c>
      <c r="D772" s="24">
        <v>0</v>
      </c>
      <c r="E772" s="24">
        <v>0</v>
      </c>
      <c r="F772" s="24">
        <v>0</v>
      </c>
      <c r="G772" s="24">
        <v>0</v>
      </c>
      <c r="H772" s="24">
        <v>0</v>
      </c>
      <c r="I772" s="24">
        <v>0</v>
      </c>
      <c r="J772" s="24">
        <v>0</v>
      </c>
      <c r="K772" s="24">
        <v>0</v>
      </c>
      <c r="L772" s="24">
        <v>0</v>
      </c>
      <c r="M772" s="24">
        <v>0</v>
      </c>
    </row>
    <row r="774" spans="1:13" ht="15" customHeight="1">
      <c r="A774" s="3" t="s">
        <v>448</v>
      </c>
      <c r="B774" s="86">
        <v>0</v>
      </c>
      <c r="C774" s="86">
        <v>0</v>
      </c>
      <c r="D774" s="86">
        <v>0</v>
      </c>
      <c r="E774" s="86">
        <v>0</v>
      </c>
      <c r="F774" s="86">
        <v>0</v>
      </c>
      <c r="G774" s="86">
        <v>0</v>
      </c>
      <c r="H774" s="86">
        <v>0</v>
      </c>
      <c r="I774" s="86">
        <v>0</v>
      </c>
      <c r="J774" s="86">
        <v>0</v>
      </c>
      <c r="K774" s="86">
        <v>0</v>
      </c>
      <c r="L774" s="86">
        <v>0</v>
      </c>
      <c r="M774" s="86">
        <v>0</v>
      </c>
    </row>
    <row r="775" spans="1:13" ht="15" customHeight="1">
      <c r="A775" s="3" t="s">
        <v>446</v>
      </c>
      <c r="B775" s="24">
        <v>0</v>
      </c>
      <c r="C775" s="24">
        <v>0</v>
      </c>
      <c r="D775" s="24">
        <v>0</v>
      </c>
      <c r="E775" s="24">
        <v>0</v>
      </c>
      <c r="F775" s="24">
        <v>0</v>
      </c>
      <c r="G775" s="24">
        <v>0</v>
      </c>
      <c r="H775" s="24">
        <v>0</v>
      </c>
      <c r="I775" s="24">
        <v>0</v>
      </c>
      <c r="J775" s="24">
        <v>0</v>
      </c>
      <c r="K775" s="24">
        <v>0</v>
      </c>
      <c r="L775" s="24">
        <v>0</v>
      </c>
      <c r="M775" s="24">
        <v>0</v>
      </c>
    </row>
    <row r="777" spans="1:13" ht="15" customHeight="1">
      <c r="A777" s="3" t="s">
        <v>449</v>
      </c>
      <c r="B777" s="24">
        <v>0</v>
      </c>
      <c r="C777" s="24">
        <v>0</v>
      </c>
      <c r="D777" s="24">
        <v>0</v>
      </c>
      <c r="E777" s="24">
        <v>0</v>
      </c>
      <c r="F777" s="24">
        <v>0</v>
      </c>
      <c r="G777" s="24">
        <v>0</v>
      </c>
      <c r="H777" s="24">
        <v>0</v>
      </c>
      <c r="I777" s="24">
        <v>0</v>
      </c>
      <c r="J777" s="24">
        <v>0</v>
      </c>
      <c r="K777" s="24">
        <v>0</v>
      </c>
      <c r="L777" s="24">
        <v>0</v>
      </c>
      <c r="M777" s="24">
        <v>0</v>
      </c>
    </row>
    <row r="778" spans="1:13" ht="15" customHeight="1">
      <c r="A778" s="3" t="s">
        <v>450</v>
      </c>
      <c r="B778" s="18">
        <v>3</v>
      </c>
      <c r="C778" s="18">
        <v>3</v>
      </c>
      <c r="D778" s="18">
        <v>3</v>
      </c>
      <c r="E778" s="18">
        <v>3</v>
      </c>
      <c r="F778" s="18">
        <v>3</v>
      </c>
      <c r="G778" s="18">
        <v>3</v>
      </c>
      <c r="H778" s="18">
        <v>3</v>
      </c>
      <c r="I778" s="18">
        <v>3</v>
      </c>
      <c r="J778" s="18">
        <v>3</v>
      </c>
      <c r="K778" s="18">
        <v>3</v>
      </c>
      <c r="L778" s="18">
        <v>3</v>
      </c>
      <c r="M778" s="18">
        <v>3</v>
      </c>
    </row>
    <row r="779" spans="1:13" ht="15" customHeight="1">
      <c r="B779" s="18"/>
      <c r="C779" s="18"/>
      <c r="D779" s="18"/>
      <c r="E779" s="18"/>
      <c r="F779" s="18"/>
      <c r="G779" s="18"/>
      <c r="H779" s="18"/>
      <c r="I779" s="18"/>
      <c r="J779" s="18"/>
      <c r="K779" s="18"/>
      <c r="L779" s="18"/>
      <c r="M779" s="18"/>
    </row>
    <row r="781" spans="1:13" ht="15" customHeight="1">
      <c r="A781" s="23" t="s">
        <v>367</v>
      </c>
      <c r="B781" s="26"/>
      <c r="C781" s="26"/>
      <c r="D781" s="26"/>
      <c r="E781" s="26"/>
      <c r="F781" s="26"/>
      <c r="G781" s="26"/>
      <c r="H781" s="26"/>
      <c r="I781" s="26"/>
      <c r="J781" s="26"/>
      <c r="K781" s="26"/>
      <c r="L781" s="26"/>
      <c r="M781" s="26"/>
    </row>
    <row r="782" spans="1:13" ht="15" customHeight="1">
      <c r="A782" s="3" t="s">
        <v>392</v>
      </c>
      <c r="B782" s="18" t="s">
        <v>6</v>
      </c>
      <c r="C782" s="18" t="s">
        <v>6</v>
      </c>
      <c r="D782" s="18" t="s">
        <v>6</v>
      </c>
      <c r="E782" s="18" t="s">
        <v>6</v>
      </c>
      <c r="F782" s="18" t="s">
        <v>6</v>
      </c>
      <c r="G782" s="18" t="s">
        <v>6</v>
      </c>
      <c r="H782" s="18" t="s">
        <v>6</v>
      </c>
      <c r="I782" s="18" t="s">
        <v>6</v>
      </c>
      <c r="J782" s="18" t="s">
        <v>6</v>
      </c>
      <c r="K782" s="18" t="s">
        <v>6</v>
      </c>
      <c r="L782" s="18" t="s">
        <v>6</v>
      </c>
      <c r="M782" s="18" t="s">
        <v>6</v>
      </c>
    </row>
    <row r="783" spans="1:13" ht="15" customHeight="1">
      <c r="A783" s="102" t="s">
        <v>367</v>
      </c>
      <c r="B783" s="92">
        <v>0</v>
      </c>
      <c r="C783" s="92">
        <v>0</v>
      </c>
      <c r="D783" s="92">
        <v>0</v>
      </c>
      <c r="E783" s="92">
        <v>0</v>
      </c>
      <c r="F783" s="92">
        <v>0</v>
      </c>
      <c r="G783" s="92">
        <v>0</v>
      </c>
      <c r="H783" s="92">
        <v>0</v>
      </c>
      <c r="I783" s="92">
        <v>0</v>
      </c>
      <c r="J783" s="92">
        <v>0</v>
      </c>
      <c r="K783" s="92">
        <v>0</v>
      </c>
      <c r="L783" s="92">
        <v>0</v>
      </c>
      <c r="M783" s="92">
        <v>0</v>
      </c>
    </row>
    <row r="784" spans="1:13" ht="15" customHeight="1">
      <c r="A784" s="102" t="s">
        <v>393</v>
      </c>
      <c r="B784" s="92">
        <v>0.5</v>
      </c>
      <c r="C784" s="92">
        <v>0.5</v>
      </c>
      <c r="D784" s="92">
        <v>0.5</v>
      </c>
      <c r="E784" s="92">
        <v>0.5</v>
      </c>
      <c r="F784" s="92">
        <v>0.5</v>
      </c>
      <c r="G784" s="92">
        <v>0.5</v>
      </c>
      <c r="H784" s="92">
        <v>0.5</v>
      </c>
      <c r="I784" s="92">
        <v>0.5</v>
      </c>
      <c r="J784" s="92">
        <v>0.5</v>
      </c>
      <c r="K784" s="92">
        <v>0.5</v>
      </c>
      <c r="L784" s="92">
        <v>0.5</v>
      </c>
      <c r="M784" s="92">
        <v>0.5</v>
      </c>
    </row>
    <row r="785" spans="1:13" ht="15" customHeight="1">
      <c r="A785" s="102" t="s">
        <v>368</v>
      </c>
      <c r="B785" s="48">
        <v>4</v>
      </c>
      <c r="C785" s="48">
        <v>4</v>
      </c>
      <c r="D785" s="48">
        <v>4</v>
      </c>
      <c r="E785" s="48">
        <v>4</v>
      </c>
      <c r="F785" s="48">
        <v>4</v>
      </c>
      <c r="G785" s="48">
        <v>4</v>
      </c>
      <c r="H785" s="48">
        <v>4</v>
      </c>
      <c r="I785" s="48">
        <v>4</v>
      </c>
      <c r="J785" s="48">
        <v>4</v>
      </c>
      <c r="K785" s="48">
        <v>4</v>
      </c>
      <c r="L785" s="48">
        <v>4</v>
      </c>
      <c r="M785" s="48">
        <v>4</v>
      </c>
    </row>
    <row r="786" spans="1:13" ht="15" customHeight="1">
      <c r="A786" s="102"/>
      <c r="B786" s="48"/>
      <c r="C786" s="48"/>
      <c r="D786" s="48"/>
      <c r="E786" s="48"/>
      <c r="F786" s="48"/>
      <c r="G786" s="48"/>
      <c r="H786" s="48"/>
      <c r="I786" s="48"/>
      <c r="J786" s="48"/>
      <c r="K786" s="48"/>
      <c r="L786" s="48"/>
      <c r="M786" s="48"/>
    </row>
    <row r="787" spans="1:13" ht="15" customHeight="1">
      <c r="A787" s="1"/>
    </row>
    <row r="788" spans="1:13" ht="15" customHeight="1">
      <c r="A788" s="23" t="s">
        <v>378</v>
      </c>
      <c r="B788" s="26"/>
      <c r="C788" s="26"/>
      <c r="D788" s="26"/>
      <c r="E788" s="26"/>
      <c r="F788" s="26"/>
      <c r="G788" s="26"/>
      <c r="H788" s="26"/>
      <c r="I788" s="26"/>
      <c r="J788" s="26"/>
      <c r="K788" s="26"/>
      <c r="L788" s="26"/>
      <c r="M788" s="26"/>
    </row>
    <row r="789" spans="1:13" ht="15" customHeight="1">
      <c r="A789" s="102" t="s">
        <v>362</v>
      </c>
      <c r="B789" s="48">
        <v>1</v>
      </c>
      <c r="C789" s="48">
        <v>1</v>
      </c>
      <c r="D789" s="48">
        <v>1</v>
      </c>
      <c r="E789" s="48">
        <v>1</v>
      </c>
      <c r="F789" s="48">
        <v>1</v>
      </c>
      <c r="G789" s="48">
        <v>1</v>
      </c>
      <c r="H789" s="48">
        <v>1</v>
      </c>
      <c r="I789" s="48">
        <v>1</v>
      </c>
      <c r="J789" s="48">
        <v>1</v>
      </c>
      <c r="K789" s="48">
        <v>1</v>
      </c>
      <c r="L789" s="48">
        <v>1</v>
      </c>
      <c r="M789" s="48">
        <v>1</v>
      </c>
    </row>
    <row r="790" spans="1:13" ht="15" customHeight="1">
      <c r="A790" s="102" t="s">
        <v>366</v>
      </c>
      <c r="B790" s="86">
        <v>0</v>
      </c>
      <c r="C790" s="86">
        <v>0</v>
      </c>
      <c r="D790" s="86">
        <v>0</v>
      </c>
      <c r="E790" s="86">
        <v>0</v>
      </c>
      <c r="F790" s="86">
        <v>0</v>
      </c>
      <c r="G790" s="86">
        <v>0</v>
      </c>
      <c r="H790" s="86">
        <v>0</v>
      </c>
      <c r="I790" s="86">
        <v>0</v>
      </c>
      <c r="J790" s="86">
        <v>0</v>
      </c>
      <c r="K790" s="86">
        <v>0</v>
      </c>
      <c r="L790" s="86">
        <v>0</v>
      </c>
      <c r="M790" s="86">
        <v>0</v>
      </c>
    </row>
    <row r="791" spans="1:13" ht="15" customHeight="1">
      <c r="A791" s="102" t="s">
        <v>364</v>
      </c>
      <c r="B791" s="92">
        <v>0</v>
      </c>
      <c r="C791" s="92">
        <v>0</v>
      </c>
      <c r="D791" s="92">
        <v>0</v>
      </c>
      <c r="E791" s="92">
        <v>0</v>
      </c>
      <c r="F791" s="92">
        <v>0</v>
      </c>
      <c r="G791" s="92">
        <v>0</v>
      </c>
      <c r="H791" s="92">
        <v>0</v>
      </c>
      <c r="I791" s="92">
        <v>0</v>
      </c>
      <c r="J791" s="92">
        <v>0</v>
      </c>
      <c r="K791" s="92">
        <v>0</v>
      </c>
      <c r="L791" s="92">
        <v>0</v>
      </c>
      <c r="M791" s="92">
        <v>0</v>
      </c>
    </row>
    <row r="792" spans="1:13" ht="15" customHeight="1">
      <c r="A792" s="102" t="s">
        <v>363</v>
      </c>
      <c r="B792" s="93">
        <v>0</v>
      </c>
      <c r="C792" s="93">
        <v>0</v>
      </c>
      <c r="D792" s="93">
        <v>0</v>
      </c>
      <c r="E792" s="93">
        <v>0</v>
      </c>
      <c r="F792" s="93">
        <v>0</v>
      </c>
      <c r="G792" s="93">
        <v>0</v>
      </c>
      <c r="H792" s="93">
        <v>0</v>
      </c>
      <c r="I792" s="93">
        <v>0</v>
      </c>
      <c r="J792" s="93">
        <v>0</v>
      </c>
      <c r="K792" s="93">
        <v>0</v>
      </c>
      <c r="L792" s="93">
        <v>0</v>
      </c>
      <c r="M792" s="93">
        <v>0</v>
      </c>
    </row>
    <row r="795" spans="1:13" ht="15" customHeight="1">
      <c r="A795" s="23" t="s">
        <v>494</v>
      </c>
      <c r="B795" s="26"/>
      <c r="C795" s="26"/>
      <c r="D795" s="26"/>
      <c r="E795" s="26"/>
      <c r="F795" s="26"/>
      <c r="G795" s="26"/>
      <c r="H795" s="26"/>
      <c r="I795" s="26"/>
      <c r="J795" s="26"/>
      <c r="K795" s="26"/>
      <c r="L795" s="26"/>
      <c r="M795" s="26"/>
    </row>
    <row r="796" spans="1:13" ht="15" customHeight="1">
      <c r="A796" s="3" t="s">
        <v>495</v>
      </c>
      <c r="B796" s="19">
        <v>10</v>
      </c>
      <c r="C796" s="19">
        <v>10</v>
      </c>
      <c r="D796" s="19">
        <v>10</v>
      </c>
      <c r="E796" s="19">
        <v>10</v>
      </c>
      <c r="F796" s="19">
        <v>10</v>
      </c>
      <c r="G796" s="19">
        <v>10</v>
      </c>
      <c r="H796" s="19">
        <v>10</v>
      </c>
      <c r="I796" s="19">
        <v>10</v>
      </c>
      <c r="J796" s="19">
        <v>10</v>
      </c>
      <c r="K796" s="19">
        <v>10</v>
      </c>
      <c r="L796" s="19">
        <v>10</v>
      </c>
      <c r="M796" s="19">
        <v>10</v>
      </c>
    </row>
    <row r="797" spans="1:13" ht="15" customHeight="1">
      <c r="A797" s="3" t="s">
        <v>402</v>
      </c>
      <c r="B797" s="18" t="s">
        <v>389</v>
      </c>
      <c r="C797" s="18" t="s">
        <v>389</v>
      </c>
      <c r="D797" s="18" t="s">
        <v>389</v>
      </c>
      <c r="E797" s="18" t="s">
        <v>389</v>
      </c>
      <c r="F797" s="18" t="s">
        <v>389</v>
      </c>
      <c r="G797" s="18" t="s">
        <v>389</v>
      </c>
      <c r="H797" s="18" t="s">
        <v>6</v>
      </c>
      <c r="I797" s="18" t="s">
        <v>389</v>
      </c>
      <c r="J797" s="18" t="s">
        <v>389</v>
      </c>
      <c r="K797" s="18" t="s">
        <v>389</v>
      </c>
      <c r="L797" s="18" t="s">
        <v>6</v>
      </c>
      <c r="M797" s="18" t="s">
        <v>389</v>
      </c>
    </row>
    <row r="798" spans="1:13" ht="15" customHeight="1">
      <c r="A798" s="3" t="s">
        <v>403</v>
      </c>
      <c r="B798" s="20">
        <v>0.12</v>
      </c>
      <c r="C798" s="20">
        <v>0.12</v>
      </c>
      <c r="D798" s="20">
        <v>0.12</v>
      </c>
      <c r="E798" s="20">
        <v>0.12</v>
      </c>
      <c r="F798" s="20">
        <v>0.12</v>
      </c>
      <c r="G798" s="20">
        <v>0.12</v>
      </c>
      <c r="H798" s="20">
        <v>0.12</v>
      </c>
      <c r="I798" s="20">
        <v>0.12</v>
      </c>
      <c r="J798" s="20">
        <v>0.12</v>
      </c>
      <c r="K798" s="20">
        <v>0.12</v>
      </c>
      <c r="L798" s="20">
        <v>0.12</v>
      </c>
      <c r="M798" s="20">
        <v>0.12</v>
      </c>
    </row>
    <row r="799" spans="1:13" ht="15" customHeight="1">
      <c r="A799" s="3" t="s">
        <v>401</v>
      </c>
      <c r="B799" s="18" t="s">
        <v>389</v>
      </c>
      <c r="C799" s="18" t="s">
        <v>389</v>
      </c>
      <c r="D799" s="18" t="s">
        <v>389</v>
      </c>
      <c r="E799" s="18" t="s">
        <v>389</v>
      </c>
      <c r="F799" s="18" t="s">
        <v>389</v>
      </c>
      <c r="G799" s="18" t="s">
        <v>389</v>
      </c>
      <c r="H799" s="18" t="s">
        <v>389</v>
      </c>
      <c r="I799" s="18" t="s">
        <v>389</v>
      </c>
      <c r="J799" s="18" t="s">
        <v>389</v>
      </c>
      <c r="K799" s="18" t="s">
        <v>389</v>
      </c>
      <c r="L799" s="18" t="s">
        <v>389</v>
      </c>
      <c r="M799" s="18" t="s">
        <v>389</v>
      </c>
    </row>
    <row r="800" spans="1:13" ht="15" customHeight="1">
      <c r="A800" s="153" t="s">
        <v>473</v>
      </c>
      <c r="B800" s="20">
        <f t="shared" ref="B800:I800" si="1563">B802+0.045</f>
        <v>6.4500000000000002E-2</v>
      </c>
      <c r="C800" s="20">
        <f t="shared" si="1563"/>
        <v>6.5000000000000002E-2</v>
      </c>
      <c r="D800" s="20">
        <f t="shared" si="1563"/>
        <v>6.9800000000000001E-2</v>
      </c>
      <c r="E800" s="20">
        <f t="shared" si="1563"/>
        <v>7.0999999999999994E-2</v>
      </c>
      <c r="F800" s="20">
        <f t="shared" si="1563"/>
        <v>7.1999999999999995E-2</v>
      </c>
      <c r="G800" s="20">
        <f t="shared" si="1563"/>
        <v>7.22E-2</v>
      </c>
      <c r="H800" s="20">
        <f t="shared" si="1563"/>
        <v>7.5399999999999995E-2</v>
      </c>
      <c r="I800" s="20">
        <f t="shared" si="1563"/>
        <v>7.4999999999999997E-2</v>
      </c>
      <c r="J800" s="20">
        <f t="shared" ref="J800:M800" si="1564">J802+0.045</f>
        <v>6.25E-2</v>
      </c>
      <c r="K800" s="20">
        <f t="shared" si="1564"/>
        <v>6.2299999999999994E-2</v>
      </c>
      <c r="L800" s="20">
        <f t="shared" si="1564"/>
        <v>6.3E-2</v>
      </c>
      <c r="M800" s="20">
        <f t="shared" si="1564"/>
        <v>6.1699999999999998E-2</v>
      </c>
    </row>
    <row r="801" spans="1:13" ht="15" customHeight="1">
      <c r="A801" s="3" t="s">
        <v>467</v>
      </c>
      <c r="B801" s="20">
        <v>0.08</v>
      </c>
      <c r="C801" s="20">
        <v>0.08</v>
      </c>
      <c r="D801" s="20">
        <v>0.08</v>
      </c>
      <c r="E801" s="20">
        <v>0.08</v>
      </c>
      <c r="F801" s="20">
        <v>0.08</v>
      </c>
      <c r="G801" s="20">
        <v>0.08</v>
      </c>
      <c r="H801" s="20">
        <v>0.08</v>
      </c>
      <c r="I801" s="20">
        <v>0.08</v>
      </c>
      <c r="J801" s="20">
        <v>0.08</v>
      </c>
      <c r="K801" s="20">
        <v>0.08</v>
      </c>
      <c r="L801" s="20">
        <v>0.08</v>
      </c>
      <c r="M801" s="20">
        <v>0.08</v>
      </c>
    </row>
    <row r="802" spans="1:13" ht="15" customHeight="1">
      <c r="A802" s="3" t="s">
        <v>460</v>
      </c>
      <c r="B802" s="20">
        <f t="shared" ref="B802:I802" si="1565">B564</f>
        <v>1.95E-2</v>
      </c>
      <c r="C802" s="20">
        <f t="shared" si="1565"/>
        <v>0.02</v>
      </c>
      <c r="D802" s="20">
        <f t="shared" si="1565"/>
        <v>2.4799999999999999E-2</v>
      </c>
      <c r="E802" s="20">
        <f t="shared" si="1565"/>
        <v>2.5999999999999999E-2</v>
      </c>
      <c r="F802" s="20">
        <f t="shared" si="1565"/>
        <v>2.7E-2</v>
      </c>
      <c r="G802" s="20">
        <f t="shared" si="1565"/>
        <v>2.7199999999999998E-2</v>
      </c>
      <c r="H802" s="20">
        <f t="shared" si="1565"/>
        <v>3.04E-2</v>
      </c>
      <c r="I802" s="20">
        <f t="shared" si="1565"/>
        <v>0.03</v>
      </c>
      <c r="J802" s="20">
        <f t="shared" ref="J802:M802" si="1566">J564</f>
        <v>1.7500000000000002E-2</v>
      </c>
      <c r="K802" s="20">
        <f t="shared" si="1566"/>
        <v>1.7299999999999999E-2</v>
      </c>
      <c r="L802" s="20">
        <f t="shared" si="1566"/>
        <v>1.7999999999999999E-2</v>
      </c>
      <c r="M802" s="20">
        <f t="shared" si="1566"/>
        <v>1.67E-2</v>
      </c>
    </row>
    <row r="803" spans="1:13" ht="15" customHeight="1">
      <c r="A803" s="3" t="s">
        <v>398</v>
      </c>
      <c r="B803" s="18" t="s">
        <v>6</v>
      </c>
      <c r="C803" s="18" t="s">
        <v>6</v>
      </c>
      <c r="D803" s="18" t="s">
        <v>6</v>
      </c>
      <c r="E803" s="18" t="s">
        <v>6</v>
      </c>
      <c r="F803" s="18" t="s">
        <v>6</v>
      </c>
      <c r="G803" s="18" t="s">
        <v>6</v>
      </c>
      <c r="H803" s="18" t="s">
        <v>6</v>
      </c>
      <c r="I803" s="18" t="s">
        <v>6</v>
      </c>
      <c r="J803" s="18" t="s">
        <v>6</v>
      </c>
      <c r="K803" s="18" t="s">
        <v>6</v>
      </c>
      <c r="L803" s="18" t="s">
        <v>6</v>
      </c>
      <c r="M803" s="18" t="s">
        <v>6</v>
      </c>
    </row>
    <row r="804" spans="1:13" ht="15" customHeight="1">
      <c r="A804" s="1"/>
    </row>
    <row r="805" spans="1:13" ht="15" customHeight="1">
      <c r="A805" s="1"/>
    </row>
    <row r="806" spans="1:13" ht="15" customHeight="1">
      <c r="A806" s="23" t="s">
        <v>493</v>
      </c>
      <c r="B806" s="26"/>
      <c r="C806" s="26"/>
      <c r="D806" s="26"/>
      <c r="E806" s="26"/>
      <c r="F806" s="26"/>
      <c r="G806" s="26"/>
      <c r="H806" s="26"/>
      <c r="I806" s="26"/>
      <c r="J806" s="26"/>
      <c r="K806" s="26"/>
      <c r="L806" s="26"/>
      <c r="M806" s="26"/>
    </row>
    <row r="807" spans="1:13" ht="15" customHeight="1">
      <c r="A807" s="3" t="s">
        <v>492</v>
      </c>
      <c r="B807" s="19">
        <v>5</v>
      </c>
      <c r="C807" s="19">
        <v>5</v>
      </c>
      <c r="D807" s="19">
        <v>5</v>
      </c>
      <c r="E807" s="19">
        <v>5</v>
      </c>
      <c r="F807" s="19">
        <v>5</v>
      </c>
      <c r="G807" s="19">
        <v>5</v>
      </c>
      <c r="H807" s="19">
        <v>5</v>
      </c>
      <c r="I807" s="19">
        <v>5</v>
      </c>
      <c r="J807" s="19">
        <v>5</v>
      </c>
      <c r="K807" s="19">
        <v>5</v>
      </c>
      <c r="L807" s="19">
        <v>5</v>
      </c>
      <c r="M807" s="19">
        <v>5</v>
      </c>
    </row>
    <row r="808" spans="1:13" ht="15" customHeight="1">
      <c r="A808" s="102" t="s">
        <v>33</v>
      </c>
      <c r="B808" s="100">
        <f t="shared" ref="B808:I808" ca="1" si="1567">B404</f>
        <v>8.5616478250876329E-2</v>
      </c>
      <c r="C808" s="100">
        <f t="shared" ca="1" si="1567"/>
        <v>8.6399225155159756E-2</v>
      </c>
      <c r="D808" s="100">
        <f t="shared" ca="1" si="1567"/>
        <v>9.239676427316143E-2</v>
      </c>
      <c r="E808" s="100">
        <f t="shared" ca="1" si="1567"/>
        <v>0.10740672303923111</v>
      </c>
      <c r="F808" s="100">
        <f t="shared" ca="1" si="1567"/>
        <v>0.10008009908896695</v>
      </c>
      <c r="G808" s="100">
        <f t="shared" ca="1" si="1567"/>
        <v>0.10029247285368061</v>
      </c>
      <c r="H808" s="100">
        <f t="shared" ca="1" si="1567"/>
        <v>0.10154649937414874</v>
      </c>
      <c r="I808" s="100">
        <f t="shared" ca="1" si="1567"/>
        <v>0.11800171037140457</v>
      </c>
      <c r="J808" s="100">
        <f t="shared" ref="J808:M808" ca="1" si="1568">J404</f>
        <v>0.11667035007978127</v>
      </c>
      <c r="K808" s="100">
        <f t="shared" ca="1" si="1568"/>
        <v>0.1167052809580631</v>
      </c>
      <c r="L808" s="100">
        <f t="shared" ca="1" si="1568"/>
        <v>0.12481249198950628</v>
      </c>
      <c r="M808" s="100">
        <f t="shared" ca="1" si="1568"/>
        <v>0.12366717322736231</v>
      </c>
    </row>
    <row r="809" spans="1:13" ht="15" customHeight="1">
      <c r="A809" s="3" t="s">
        <v>25</v>
      </c>
      <c r="B809" s="22">
        <v>2</v>
      </c>
      <c r="C809" s="22">
        <v>2</v>
      </c>
      <c r="D809" s="22">
        <v>2</v>
      </c>
      <c r="E809" s="22">
        <v>2.66</v>
      </c>
      <c r="F809" s="22">
        <v>2.4500000000000002</v>
      </c>
      <c r="G809" s="22">
        <v>2.4500000000000002</v>
      </c>
      <c r="H809" s="22">
        <v>2.4500000000000002</v>
      </c>
      <c r="I809" s="22">
        <v>2.66</v>
      </c>
      <c r="J809" s="22">
        <v>2.66</v>
      </c>
      <c r="K809" s="22">
        <v>2.81</v>
      </c>
      <c r="L809" s="22">
        <v>2.96</v>
      </c>
      <c r="M809" s="22">
        <v>0.78</v>
      </c>
    </row>
    <row r="810" spans="1:13" ht="15" customHeight="1">
      <c r="A810" s="3" t="s">
        <v>27</v>
      </c>
      <c r="B810" s="20">
        <v>0.25</v>
      </c>
      <c r="C810" s="20">
        <v>0.25</v>
      </c>
      <c r="D810" s="20">
        <v>0.25</v>
      </c>
      <c r="E810" s="20">
        <v>0.25</v>
      </c>
      <c r="F810" s="20">
        <v>0.25</v>
      </c>
      <c r="G810" s="20">
        <v>0.25</v>
      </c>
      <c r="H810" s="20">
        <v>0.25</v>
      </c>
      <c r="I810" s="20">
        <v>0.25</v>
      </c>
      <c r="J810" s="20">
        <v>0.25</v>
      </c>
      <c r="K810" s="20">
        <v>0.25</v>
      </c>
      <c r="L810" s="20">
        <v>0.3</v>
      </c>
      <c r="M810" s="20">
        <v>0.35</v>
      </c>
    </row>
    <row r="811" spans="1:13" ht="15" customHeight="1">
      <c r="A811" s="3" t="s">
        <v>26</v>
      </c>
      <c r="B811" s="20">
        <v>0.04</v>
      </c>
      <c r="C811" s="20">
        <v>0.04</v>
      </c>
      <c r="D811" s="20">
        <v>0.04</v>
      </c>
      <c r="E811" s="20">
        <v>0.04</v>
      </c>
      <c r="F811" s="20">
        <v>0.04</v>
      </c>
      <c r="G811" s="20">
        <v>0.04</v>
      </c>
      <c r="H811" s="20">
        <v>0.04</v>
      </c>
      <c r="I811" s="20">
        <v>0.05</v>
      </c>
      <c r="J811" s="20">
        <v>0.05</v>
      </c>
      <c r="K811" s="20">
        <v>0.05</v>
      </c>
      <c r="L811" s="20">
        <v>0.06</v>
      </c>
      <c r="M811" s="20">
        <v>0.08</v>
      </c>
    </row>
    <row r="812" spans="1:13" ht="15" customHeight="1">
      <c r="A812" s="1"/>
    </row>
    <row r="813" spans="1:13" ht="15" customHeight="1">
      <c r="A813" s="1"/>
    </row>
    <row r="814" spans="1:13" ht="15" customHeight="1">
      <c r="A814" s="23" t="s">
        <v>497</v>
      </c>
      <c r="B814" s="26"/>
      <c r="C814" s="26"/>
      <c r="D814" s="26"/>
      <c r="E814" s="26"/>
      <c r="F814" s="26"/>
      <c r="G814" s="26"/>
      <c r="H814" s="26"/>
      <c r="I814" s="26"/>
      <c r="J814" s="26"/>
      <c r="K814" s="26"/>
      <c r="L814" s="26"/>
      <c r="M814" s="26"/>
    </row>
    <row r="815" spans="1:13" ht="15" customHeight="1">
      <c r="A815" s="104" t="s">
        <v>487</v>
      </c>
      <c r="B815" s="140">
        <f t="shared" ref="B815:I815" ca="1" si="1569">B277/B305</f>
        <v>8.2496896200589295E-2</v>
      </c>
      <c r="C815" s="140">
        <f t="shared" ca="1" si="1569"/>
        <v>8.3265421940994122E-2</v>
      </c>
      <c r="D815" s="140">
        <f t="shared" ca="1" si="1569"/>
        <v>8.5220699915796075E-2</v>
      </c>
      <c r="E815" s="140">
        <f t="shared" ca="1" si="1569"/>
        <v>6.4346042991900512E-2</v>
      </c>
      <c r="F815" s="140">
        <f t="shared" ca="1" si="1569"/>
        <v>7.0363638996214131E-2</v>
      </c>
      <c r="G815" s="140">
        <f t="shared" ca="1" si="1569"/>
        <v>7.1300500125317884E-2</v>
      </c>
      <c r="H815" s="140">
        <f t="shared" ca="1" si="1569"/>
        <v>7.0341049883614296E-2</v>
      </c>
      <c r="I815" s="140">
        <f t="shared" ca="1" si="1569"/>
        <v>7.9195535600817032E-2</v>
      </c>
      <c r="J815" s="140">
        <f t="shared" ref="J815:M815" ca="1" si="1570">J277/J305</f>
        <v>7.7109288621525537E-2</v>
      </c>
      <c r="K815" s="140">
        <f t="shared" ca="1" si="1570"/>
        <v>6.8715870948068428E-2</v>
      </c>
      <c r="L815" s="140">
        <f t="shared" ca="1" si="1570"/>
        <v>7.2714489177074015E-2</v>
      </c>
      <c r="M815" s="140">
        <f t="shared" ca="1" si="1570"/>
        <v>0.35483389182860592</v>
      </c>
    </row>
    <row r="816" spans="1:13" ht="15" customHeight="1">
      <c r="A816" s="3" t="s">
        <v>488</v>
      </c>
      <c r="B816" s="12">
        <v>0</v>
      </c>
      <c r="C816" s="12">
        <v>0</v>
      </c>
      <c r="D816" s="12">
        <v>0</v>
      </c>
      <c r="E816" s="12">
        <v>0</v>
      </c>
      <c r="F816" s="12">
        <v>0</v>
      </c>
      <c r="G816" s="12">
        <v>0</v>
      </c>
      <c r="H816" s="12">
        <v>0</v>
      </c>
      <c r="I816" s="12">
        <v>0</v>
      </c>
      <c r="J816" s="12">
        <v>0</v>
      </c>
      <c r="K816" s="12">
        <v>0</v>
      </c>
      <c r="L816" s="12">
        <v>0</v>
      </c>
      <c r="M816" s="12">
        <v>0</v>
      </c>
    </row>
    <row r="817" spans="1:13" ht="15" customHeight="1">
      <c r="A817" s="3" t="s">
        <v>7</v>
      </c>
      <c r="B817" s="152">
        <v>0.26906916612798965</v>
      </c>
      <c r="C817" s="152">
        <v>0.26179554390563564</v>
      </c>
      <c r="D817" s="152">
        <v>0.26194211994421202</v>
      </c>
      <c r="E817" s="152">
        <v>0.2620963710886734</v>
      </c>
      <c r="F817" s="152">
        <v>0.2611</v>
      </c>
      <c r="G817" s="152">
        <v>0.26184425998080074</v>
      </c>
      <c r="H817" s="152">
        <v>0.26150000000000001</v>
      </c>
      <c r="I817" s="152">
        <v>0.2620963710886734</v>
      </c>
      <c r="J817" s="152">
        <v>0.2601</v>
      </c>
      <c r="K817" s="152">
        <v>0.25995925758261657</v>
      </c>
      <c r="L817" s="152">
        <v>0.25160052364471064</v>
      </c>
      <c r="M817" s="152">
        <v>0.25604923699519433</v>
      </c>
    </row>
    <row r="818" spans="1:13" ht="15" customHeight="1">
      <c r="A818" s="3" t="s">
        <v>24</v>
      </c>
      <c r="B818" s="152">
        <v>0.36</v>
      </c>
      <c r="C818" s="152">
        <v>0.36</v>
      </c>
      <c r="D818" s="152">
        <v>0.36</v>
      </c>
      <c r="E818" s="152">
        <v>0.38</v>
      </c>
      <c r="F818" s="152">
        <v>0.38</v>
      </c>
      <c r="G818" s="152">
        <v>0.38</v>
      </c>
      <c r="H818" s="152">
        <v>0.38</v>
      </c>
      <c r="I818" s="152">
        <v>0.38</v>
      </c>
      <c r="J818" s="152">
        <v>0.38</v>
      </c>
      <c r="K818" s="152">
        <v>0.38</v>
      </c>
      <c r="L818" s="152">
        <v>0.38</v>
      </c>
      <c r="M818" s="152">
        <v>0.35</v>
      </c>
    </row>
    <row r="819" spans="1:13" ht="15" customHeight="1">
      <c r="A819" s="3" t="s">
        <v>20</v>
      </c>
      <c r="B819" s="12">
        <v>63971</v>
      </c>
      <c r="C819" s="12">
        <v>59286</v>
      </c>
      <c r="D819" s="12">
        <v>52503</v>
      </c>
      <c r="E819" s="12">
        <v>51368</v>
      </c>
      <c r="F819" s="12">
        <v>50287</v>
      </c>
      <c r="G819" s="12">
        <v>49252</v>
      </c>
      <c r="H819" s="12">
        <v>48999</v>
      </c>
      <c r="I819" s="12">
        <v>49913</v>
      </c>
      <c r="J819" s="12">
        <v>52285</v>
      </c>
      <c r="K819" s="12">
        <v>55111</v>
      </c>
      <c r="L819" s="12">
        <v>55241</v>
      </c>
      <c r="M819" s="12">
        <v>53007</v>
      </c>
    </row>
    <row r="820" spans="1:13" ht="15" customHeight="1">
      <c r="A820" s="3" t="s">
        <v>19</v>
      </c>
      <c r="B820" s="12">
        <v>212164</v>
      </c>
      <c r="C820" s="12">
        <v>199800</v>
      </c>
      <c r="D820" s="12">
        <v>182795</v>
      </c>
      <c r="E820" s="12">
        <v>178144</v>
      </c>
      <c r="F820" s="12">
        <v>176035</v>
      </c>
      <c r="G820" s="12">
        <v>173992</v>
      </c>
      <c r="H820" s="12">
        <v>170910</v>
      </c>
      <c r="I820" s="12">
        <v>169404</v>
      </c>
      <c r="J820" s="12">
        <v>169104</v>
      </c>
      <c r="K820" s="12">
        <v>164687</v>
      </c>
      <c r="L820" s="12">
        <v>156508</v>
      </c>
      <c r="M820" s="12">
        <v>148812</v>
      </c>
    </row>
    <row r="822" spans="1:13" ht="15" customHeight="1">
      <c r="A822" s="106" t="s">
        <v>383</v>
      </c>
      <c r="B822" s="27"/>
      <c r="C822" s="27"/>
      <c r="D822" s="27"/>
      <c r="E822" s="27"/>
      <c r="F822" s="27"/>
      <c r="G822" s="27"/>
      <c r="H822" s="27"/>
      <c r="I822" s="27"/>
      <c r="J822" s="27"/>
      <c r="K822" s="27"/>
      <c r="L822" s="27"/>
      <c r="M822" s="27"/>
    </row>
    <row r="823" spans="1:13" ht="15" customHeight="1">
      <c r="A823" s="3" t="s">
        <v>34</v>
      </c>
      <c r="B823" s="12">
        <v>21000</v>
      </c>
      <c r="C823" s="12">
        <v>21000</v>
      </c>
      <c r="D823" s="12">
        <v>21000</v>
      </c>
      <c r="E823" s="12">
        <v>23000</v>
      </c>
      <c r="F823" s="12">
        <v>23000</v>
      </c>
      <c r="G823" s="12">
        <v>23000</v>
      </c>
      <c r="H823" s="12">
        <v>23000</v>
      </c>
      <c r="I823" s="12">
        <v>20700</v>
      </c>
      <c r="J823" s="12">
        <v>18400</v>
      </c>
      <c r="K823" s="12">
        <v>18400</v>
      </c>
      <c r="L823" s="12">
        <v>18400</v>
      </c>
      <c r="M823" s="12">
        <v>0</v>
      </c>
    </row>
    <row r="824" spans="1:13" ht="15" customHeight="1">
      <c r="A824" s="3" t="s">
        <v>380</v>
      </c>
      <c r="B824" s="21">
        <v>0.15</v>
      </c>
      <c r="C824" s="21">
        <v>0.15</v>
      </c>
      <c r="D824" s="21">
        <v>0.15</v>
      </c>
      <c r="E824" s="21">
        <v>0.15</v>
      </c>
      <c r="F824" s="21">
        <v>0.15</v>
      </c>
      <c r="G824" s="21">
        <v>0.15</v>
      </c>
      <c r="H824" s="21">
        <v>0.15</v>
      </c>
      <c r="I824" s="21">
        <v>0.15</v>
      </c>
      <c r="J824" s="21">
        <v>0.15</v>
      </c>
      <c r="K824" s="21">
        <v>0.15</v>
      </c>
      <c r="L824" s="21">
        <v>0.15</v>
      </c>
      <c r="M824" s="21">
        <v>0.15</v>
      </c>
    </row>
    <row r="827" spans="1:13" ht="15" customHeight="1">
      <c r="A827" s="106" t="s">
        <v>131</v>
      </c>
      <c r="B827" s="27"/>
      <c r="C827" s="27"/>
      <c r="D827" s="27"/>
      <c r="E827" s="27"/>
      <c r="F827" s="27"/>
      <c r="G827" s="27"/>
      <c r="H827" s="27"/>
      <c r="I827" s="27"/>
      <c r="J827" s="27"/>
      <c r="K827" s="27"/>
      <c r="L827" s="27"/>
      <c r="M827" s="27"/>
    </row>
    <row r="828" spans="1:13" ht="15" customHeight="1">
      <c r="A828" s="103" t="s">
        <v>134</v>
      </c>
      <c r="B828" s="43">
        <f t="shared" ref="B828:I828" ca="1" si="1571">OFFSET(B757,B757,0)</f>
        <v>1.0510200962651641</v>
      </c>
      <c r="C828" s="43">
        <f t="shared" ca="1" si="1571"/>
        <v>1.0510200962651641</v>
      </c>
      <c r="D828" s="43">
        <f t="shared" ca="1" si="1571"/>
        <v>1.0510200962651641</v>
      </c>
      <c r="E828" s="43">
        <f t="shared" ca="1" si="1571"/>
        <v>1.2457669250257106</v>
      </c>
      <c r="F828" s="43">
        <f t="shared" ca="1" si="1571"/>
        <v>1.2444335127542099</v>
      </c>
      <c r="G828" s="43">
        <f t="shared" ca="1" si="1571"/>
        <v>1.2444335127542099</v>
      </c>
      <c r="H828" s="43">
        <f t="shared" ca="1" si="1571"/>
        <v>1.2444335127542099</v>
      </c>
      <c r="I828" s="43">
        <f t="shared" ca="1" si="1571"/>
        <v>1.3559317585301836</v>
      </c>
      <c r="J828" s="43">
        <f t="shared" ref="J828:M828" ca="1" si="1572">OFFSET(J757,J757,0)</f>
        <v>1.3391167575203289</v>
      </c>
      <c r="K828" s="43">
        <f t="shared" ca="1" si="1572"/>
        <v>1.3391167575203289</v>
      </c>
      <c r="L828" s="43">
        <f t="shared" ca="1" si="1572"/>
        <v>1.442151128762263</v>
      </c>
      <c r="M828" s="43">
        <f t="shared" ca="1" si="1572"/>
        <v>1.442151128762263</v>
      </c>
    </row>
    <row r="829" spans="1:13" ht="15" customHeight="1">
      <c r="A829" s="103" t="s">
        <v>132</v>
      </c>
      <c r="B829" s="38">
        <f t="shared" ref="B829:I829" ca="1" si="1573">OFFSET(B762,B762,0)</f>
        <v>6.4352921514986672E-2</v>
      </c>
      <c r="C829" s="38">
        <f t="shared" ca="1" si="1573"/>
        <v>6.4352921514986672E-2</v>
      </c>
      <c r="D829" s="38">
        <f t="shared" ca="1" si="1573"/>
        <v>6.5861604653835504E-2</v>
      </c>
      <c r="E829" s="38">
        <f t="shared" ca="1" si="1573"/>
        <v>6.6287686648085528E-2</v>
      </c>
      <c r="F829" s="38">
        <f t="shared" ca="1" si="1573"/>
        <v>5.9754749337324775E-2</v>
      </c>
      <c r="G829" s="38">
        <f t="shared" ca="1" si="1573"/>
        <v>5.9754749337324775E-2</v>
      </c>
      <c r="H829" s="38">
        <f t="shared" ca="1" si="1573"/>
        <v>5.8254749337324781E-2</v>
      </c>
      <c r="I829" s="38">
        <f t="shared" ca="1" si="1573"/>
        <v>6.6045728963375794E-2</v>
      </c>
      <c r="J829" s="38">
        <f t="shared" ref="J829:M829" ca="1" si="1574">OFFSET(J762,J762,0)</f>
        <v>7.4630739752021766E-2</v>
      </c>
      <c r="K829" s="38">
        <f t="shared" ca="1" si="1574"/>
        <v>7.4463348646386124E-2</v>
      </c>
      <c r="L829" s="38">
        <f t="shared" ca="1" si="1574"/>
        <v>7.4295957540750482E-2</v>
      </c>
      <c r="M829" s="38">
        <f t="shared" ca="1" si="1574"/>
        <v>7.4295957540750482E-2</v>
      </c>
    </row>
    <row r="830" spans="1:13" ht="15" customHeight="1">
      <c r="A830" s="10"/>
      <c r="B830" s="31"/>
      <c r="C830" s="31"/>
      <c r="D830" s="31"/>
      <c r="E830" s="31"/>
      <c r="F830" s="31"/>
      <c r="G830" s="31"/>
      <c r="H830" s="31"/>
      <c r="I830" s="31"/>
      <c r="J830" s="31"/>
      <c r="K830" s="31"/>
      <c r="L830" s="31"/>
      <c r="M830" s="31"/>
    </row>
    <row r="831" spans="1:13" ht="15" customHeight="1">
      <c r="A831" s="3" t="s">
        <v>53</v>
      </c>
      <c r="B831" s="90" t="s">
        <v>55</v>
      </c>
      <c r="C831" s="90" t="s">
        <v>55</v>
      </c>
      <c r="D831" s="90" t="s">
        <v>55</v>
      </c>
      <c r="E831" s="90" t="s">
        <v>55</v>
      </c>
      <c r="F831" s="90" t="s">
        <v>55</v>
      </c>
      <c r="G831" s="90" t="s">
        <v>55</v>
      </c>
      <c r="H831" s="90" t="s">
        <v>55</v>
      </c>
      <c r="I831" s="90" t="s">
        <v>55</v>
      </c>
      <c r="J831" s="90" t="s">
        <v>55</v>
      </c>
      <c r="K831" s="90" t="s">
        <v>55</v>
      </c>
      <c r="L831" s="90" t="s">
        <v>55</v>
      </c>
      <c r="M831" s="90" t="s">
        <v>55</v>
      </c>
    </row>
    <row r="832" spans="1:13" ht="15" customHeight="1">
      <c r="A832" s="10" t="s">
        <v>40</v>
      </c>
      <c r="B832" s="28">
        <v>1.0510200962651641</v>
      </c>
      <c r="C832" s="28">
        <v>1.0510200962651641</v>
      </c>
      <c r="D832" s="28">
        <v>1.0510200962651641</v>
      </c>
      <c r="E832" s="28">
        <v>1.2457669250257106</v>
      </c>
      <c r="F832" s="28">
        <v>1.2444335127542099</v>
      </c>
      <c r="G832" s="28">
        <v>1.2444335127542099</v>
      </c>
      <c r="H832" s="28">
        <v>1.2444335127542099</v>
      </c>
      <c r="I832" s="28">
        <v>1.3559317585301836</v>
      </c>
      <c r="J832" s="28">
        <v>1.3391167575203289</v>
      </c>
      <c r="K832" s="28">
        <v>1.3391167575203289</v>
      </c>
      <c r="L832" s="28">
        <v>1.442151128762263</v>
      </c>
      <c r="M832" s="28">
        <v>1.442151128762263</v>
      </c>
    </row>
    <row r="833" spans="1:13" ht="15" customHeight="1">
      <c r="A833" s="10" t="s">
        <v>41</v>
      </c>
      <c r="B833" s="28">
        <v>0</v>
      </c>
      <c r="C833" s="28">
        <v>0</v>
      </c>
      <c r="D833" s="28">
        <v>0</v>
      </c>
      <c r="E833" s="28">
        <v>0</v>
      </c>
      <c r="F833" s="28">
        <v>0</v>
      </c>
      <c r="G833" s="28">
        <v>0</v>
      </c>
      <c r="H833" s="28">
        <v>0</v>
      </c>
      <c r="I833" s="28">
        <v>0</v>
      </c>
      <c r="J833" s="28">
        <v>0</v>
      </c>
      <c r="K833" s="28">
        <v>0</v>
      </c>
      <c r="L833" s="28">
        <v>0</v>
      </c>
      <c r="M833" s="28">
        <v>0</v>
      </c>
    </row>
    <row r="834" spans="1:13" ht="15" customHeight="1">
      <c r="A834" s="10" t="s">
        <v>42</v>
      </c>
      <c r="B834" s="28">
        <v>0</v>
      </c>
      <c r="C834" s="28">
        <v>0</v>
      </c>
      <c r="D834" s="28">
        <v>0</v>
      </c>
      <c r="E834" s="28">
        <v>0</v>
      </c>
      <c r="F834" s="28">
        <v>0</v>
      </c>
      <c r="G834" s="28">
        <v>0</v>
      </c>
      <c r="H834" s="28">
        <v>0</v>
      </c>
      <c r="I834" s="28">
        <v>0</v>
      </c>
      <c r="J834" s="28">
        <v>0</v>
      </c>
      <c r="K834" s="28">
        <v>0</v>
      </c>
      <c r="L834" s="28">
        <v>0</v>
      </c>
      <c r="M834" s="28">
        <v>0</v>
      </c>
    </row>
    <row r="835" spans="1:13" ht="15" customHeight="1">
      <c r="A835" s="10" t="s">
        <v>43</v>
      </c>
      <c r="B835" s="28">
        <v>0</v>
      </c>
      <c r="C835" s="28">
        <v>0</v>
      </c>
      <c r="D835" s="28">
        <v>0</v>
      </c>
      <c r="E835" s="28">
        <v>0</v>
      </c>
      <c r="F835" s="28">
        <v>0</v>
      </c>
      <c r="G835" s="28">
        <v>0</v>
      </c>
      <c r="H835" s="28">
        <v>0</v>
      </c>
      <c r="I835" s="28">
        <v>0</v>
      </c>
      <c r="J835" s="28">
        <v>0</v>
      </c>
      <c r="K835" s="28">
        <v>0</v>
      </c>
      <c r="L835" s="28">
        <v>0</v>
      </c>
      <c r="M835" s="28">
        <v>0</v>
      </c>
    </row>
    <row r="836" spans="1:13" ht="15" customHeight="1">
      <c r="A836" s="10" t="s">
        <v>44</v>
      </c>
      <c r="B836" s="28">
        <v>0</v>
      </c>
      <c r="C836" s="28">
        <v>0</v>
      </c>
      <c r="D836" s="28">
        <v>0</v>
      </c>
      <c r="E836" s="28">
        <v>0</v>
      </c>
      <c r="F836" s="28">
        <v>0</v>
      </c>
      <c r="G836" s="28">
        <v>0</v>
      </c>
      <c r="H836" s="28">
        <v>0</v>
      </c>
      <c r="I836" s="28">
        <v>0</v>
      </c>
      <c r="J836" s="28">
        <v>0</v>
      </c>
      <c r="K836" s="28">
        <v>0</v>
      </c>
      <c r="L836" s="28">
        <v>0</v>
      </c>
      <c r="M836" s="28">
        <v>0</v>
      </c>
    </row>
    <row r="837" spans="1:13" ht="15" customHeight="1">
      <c r="A837" s="10" t="s">
        <v>45</v>
      </c>
      <c r="B837" s="28">
        <v>0</v>
      </c>
      <c r="C837" s="28">
        <v>0</v>
      </c>
      <c r="D837" s="28">
        <v>0</v>
      </c>
      <c r="E837" s="28">
        <v>0</v>
      </c>
      <c r="F837" s="28">
        <v>0</v>
      </c>
      <c r="G837" s="28">
        <v>0</v>
      </c>
      <c r="H837" s="28">
        <v>0</v>
      </c>
      <c r="I837" s="28">
        <v>0</v>
      </c>
      <c r="J837" s="28">
        <v>0</v>
      </c>
      <c r="K837" s="28">
        <v>0</v>
      </c>
      <c r="L837" s="28">
        <v>0</v>
      </c>
      <c r="M837" s="28">
        <v>0</v>
      </c>
    </row>
    <row r="838" spans="1:13" ht="15" customHeight="1">
      <c r="A838" s="10" t="s">
        <v>46</v>
      </c>
      <c r="B838" s="28">
        <v>0</v>
      </c>
      <c r="C838" s="28">
        <v>0</v>
      </c>
      <c r="D838" s="28">
        <v>0</v>
      </c>
      <c r="E838" s="28">
        <v>0</v>
      </c>
      <c r="F838" s="28">
        <v>0</v>
      </c>
      <c r="G838" s="28">
        <v>0</v>
      </c>
      <c r="H838" s="28">
        <v>0</v>
      </c>
      <c r="I838" s="28">
        <v>0</v>
      </c>
      <c r="J838" s="28">
        <v>0</v>
      </c>
      <c r="K838" s="28">
        <v>0</v>
      </c>
      <c r="L838" s="28">
        <v>0</v>
      </c>
      <c r="M838" s="28">
        <v>0</v>
      </c>
    </row>
    <row r="839" spans="1:13" ht="15" customHeight="1">
      <c r="A839" s="10" t="s">
        <v>47</v>
      </c>
      <c r="B839" s="28">
        <v>0</v>
      </c>
      <c r="C839" s="28">
        <v>0</v>
      </c>
      <c r="D839" s="28">
        <v>0</v>
      </c>
      <c r="E839" s="28">
        <v>0</v>
      </c>
      <c r="F839" s="28">
        <v>0</v>
      </c>
      <c r="G839" s="28">
        <v>0</v>
      </c>
      <c r="H839" s="28">
        <v>0</v>
      </c>
      <c r="I839" s="28">
        <v>0</v>
      </c>
      <c r="J839" s="28">
        <v>0</v>
      </c>
      <c r="K839" s="28">
        <v>0</v>
      </c>
      <c r="L839" s="28">
        <v>0</v>
      </c>
      <c r="M839" s="28">
        <v>0</v>
      </c>
    </row>
    <row r="840" spans="1:13" ht="15" customHeight="1">
      <c r="A840" s="10" t="s">
        <v>48</v>
      </c>
      <c r="B840" s="28">
        <v>0</v>
      </c>
      <c r="C840" s="28">
        <v>0</v>
      </c>
      <c r="D840" s="28">
        <v>0</v>
      </c>
      <c r="E840" s="28">
        <v>0</v>
      </c>
      <c r="F840" s="28">
        <v>0</v>
      </c>
      <c r="G840" s="28">
        <v>0</v>
      </c>
      <c r="H840" s="28">
        <v>0</v>
      </c>
      <c r="I840" s="28">
        <v>0</v>
      </c>
      <c r="J840" s="28">
        <v>0</v>
      </c>
      <c r="K840" s="28">
        <v>0</v>
      </c>
      <c r="L840" s="28">
        <v>0</v>
      </c>
      <c r="M840" s="28">
        <v>0</v>
      </c>
    </row>
    <row r="841" spans="1:13" ht="15" customHeight="1">
      <c r="A841" s="10" t="s">
        <v>49</v>
      </c>
      <c r="B841" s="28">
        <v>0</v>
      </c>
      <c r="C841" s="28">
        <v>0</v>
      </c>
      <c r="D841" s="28">
        <v>0</v>
      </c>
      <c r="E841" s="28">
        <v>0</v>
      </c>
      <c r="F841" s="28">
        <v>0</v>
      </c>
      <c r="G841" s="28">
        <v>0</v>
      </c>
      <c r="H841" s="28">
        <v>0</v>
      </c>
      <c r="I841" s="28">
        <v>0</v>
      </c>
      <c r="J841" s="28">
        <v>0</v>
      </c>
      <c r="K841" s="28">
        <v>0</v>
      </c>
      <c r="L841" s="28">
        <v>0</v>
      </c>
      <c r="M841" s="28">
        <v>0</v>
      </c>
    </row>
    <row r="843" spans="1:13" ht="15" customHeight="1">
      <c r="A843" s="10" t="s">
        <v>51</v>
      </c>
      <c r="B843" s="31"/>
      <c r="C843" s="31"/>
      <c r="D843" s="31"/>
      <c r="E843" s="31"/>
      <c r="F843" s="31"/>
      <c r="G843" s="31"/>
      <c r="H843" s="31"/>
      <c r="I843" s="31"/>
      <c r="J843" s="31"/>
      <c r="K843" s="31"/>
      <c r="L843" s="31"/>
      <c r="M843" s="31"/>
    </row>
    <row r="844" spans="1:13" ht="15" customHeight="1">
      <c r="A844" s="10" t="str">
        <f t="shared" ref="A844:A853" si="1575">A832</f>
        <v>B1</v>
      </c>
      <c r="B844" s="28">
        <v>2.6520464108360962</v>
      </c>
      <c r="C844" s="28">
        <v>3.0674640323536453</v>
      </c>
      <c r="D844" s="28">
        <v>2.58752966780792</v>
      </c>
      <c r="E844" s="28">
        <v>2.3959068447948018</v>
      </c>
      <c r="F844" s="28">
        <v>2.023311640708231</v>
      </c>
      <c r="G844" s="28">
        <v>1.9981962362759009</v>
      </c>
      <c r="H844" s="28">
        <v>1.9126507079982267</v>
      </c>
      <c r="I844" s="28">
        <v>1.9615846900553036</v>
      </c>
      <c r="J844" s="28">
        <v>1.5155154280993874</v>
      </c>
      <c r="K844" s="28">
        <v>2.0962504905598736</v>
      </c>
      <c r="L844" s="28">
        <v>2.3097846756472147</v>
      </c>
      <c r="M844" s="28">
        <v>2.9078058256351262</v>
      </c>
    </row>
    <row r="845" spans="1:13" ht="15" customHeight="1">
      <c r="A845" s="10" t="str">
        <f t="shared" si="1575"/>
        <v>B2</v>
      </c>
      <c r="B845" s="28">
        <v>0</v>
      </c>
      <c r="C845" s="28">
        <v>0</v>
      </c>
      <c r="D845" s="28">
        <v>0</v>
      </c>
      <c r="E845" s="28">
        <v>0</v>
      </c>
      <c r="F845" s="28">
        <v>0</v>
      </c>
      <c r="G845" s="28">
        <v>0</v>
      </c>
      <c r="H845" s="28">
        <v>0</v>
      </c>
      <c r="I845" s="28">
        <v>0</v>
      </c>
      <c r="J845" s="28">
        <v>0</v>
      </c>
      <c r="K845" s="28">
        <v>0</v>
      </c>
      <c r="L845" s="28">
        <v>0</v>
      </c>
      <c r="M845" s="28">
        <v>0</v>
      </c>
    </row>
    <row r="846" spans="1:13" ht="15" customHeight="1">
      <c r="A846" s="10" t="str">
        <f t="shared" si="1575"/>
        <v>B3</v>
      </c>
      <c r="B846" s="28">
        <v>0</v>
      </c>
      <c r="C846" s="28">
        <v>0</v>
      </c>
      <c r="D846" s="28">
        <v>0</v>
      </c>
      <c r="E846" s="28">
        <v>0</v>
      </c>
      <c r="F846" s="28">
        <v>0</v>
      </c>
      <c r="G846" s="28">
        <v>0</v>
      </c>
      <c r="H846" s="28">
        <v>0</v>
      </c>
      <c r="I846" s="28">
        <v>0</v>
      </c>
      <c r="J846" s="28">
        <v>0</v>
      </c>
      <c r="K846" s="28">
        <v>0</v>
      </c>
      <c r="L846" s="28">
        <v>0</v>
      </c>
      <c r="M846" s="28">
        <v>0</v>
      </c>
    </row>
    <row r="847" spans="1:13" ht="15" customHeight="1">
      <c r="A847" s="10" t="str">
        <f t="shared" si="1575"/>
        <v>B4</v>
      </c>
      <c r="B847" s="28">
        <v>0</v>
      </c>
      <c r="C847" s="28">
        <v>0</v>
      </c>
      <c r="D847" s="28">
        <v>0</v>
      </c>
      <c r="E847" s="28">
        <v>0</v>
      </c>
      <c r="F847" s="28">
        <v>0</v>
      </c>
      <c r="G847" s="28">
        <v>0</v>
      </c>
      <c r="H847" s="28">
        <v>0</v>
      </c>
      <c r="I847" s="28">
        <v>0</v>
      </c>
      <c r="J847" s="28">
        <v>0</v>
      </c>
      <c r="K847" s="28">
        <v>0</v>
      </c>
      <c r="L847" s="28">
        <v>0</v>
      </c>
      <c r="M847" s="28">
        <v>0</v>
      </c>
    </row>
    <row r="848" spans="1:13" ht="15" customHeight="1">
      <c r="A848" s="10" t="str">
        <f t="shared" si="1575"/>
        <v>B5</v>
      </c>
      <c r="B848" s="28">
        <v>0</v>
      </c>
      <c r="C848" s="28">
        <v>0</v>
      </c>
      <c r="D848" s="28">
        <v>0</v>
      </c>
      <c r="E848" s="28">
        <v>0</v>
      </c>
      <c r="F848" s="28">
        <v>0</v>
      </c>
      <c r="G848" s="28">
        <v>0</v>
      </c>
      <c r="H848" s="28">
        <v>0</v>
      </c>
      <c r="I848" s="28">
        <v>0</v>
      </c>
      <c r="J848" s="28">
        <v>0</v>
      </c>
      <c r="K848" s="28">
        <v>0</v>
      </c>
      <c r="L848" s="28">
        <v>0</v>
      </c>
      <c r="M848" s="28">
        <v>0</v>
      </c>
    </row>
    <row r="849" spans="1:13" ht="15" customHeight="1">
      <c r="A849" s="10" t="str">
        <f t="shared" si="1575"/>
        <v>B6</v>
      </c>
      <c r="B849" s="28">
        <v>0</v>
      </c>
      <c r="C849" s="28">
        <v>0</v>
      </c>
      <c r="D849" s="28">
        <v>0</v>
      </c>
      <c r="E849" s="28">
        <v>0</v>
      </c>
      <c r="F849" s="28">
        <v>0</v>
      </c>
      <c r="G849" s="28">
        <v>0</v>
      </c>
      <c r="H849" s="28">
        <v>0</v>
      </c>
      <c r="I849" s="28">
        <v>0</v>
      </c>
      <c r="J849" s="28">
        <v>0</v>
      </c>
      <c r="K849" s="28">
        <v>0</v>
      </c>
      <c r="L849" s="28">
        <v>0</v>
      </c>
      <c r="M849" s="28">
        <v>0</v>
      </c>
    </row>
    <row r="850" spans="1:13" ht="15" customHeight="1">
      <c r="A850" s="10" t="str">
        <f t="shared" si="1575"/>
        <v>B7</v>
      </c>
      <c r="B850" s="28">
        <v>0</v>
      </c>
      <c r="C850" s="28">
        <v>0</v>
      </c>
      <c r="D850" s="28">
        <v>0</v>
      </c>
      <c r="E850" s="28">
        <v>0</v>
      </c>
      <c r="F850" s="28">
        <v>0</v>
      </c>
      <c r="G850" s="28">
        <v>0</v>
      </c>
      <c r="H850" s="28">
        <v>0</v>
      </c>
      <c r="I850" s="28">
        <v>0</v>
      </c>
      <c r="J850" s="28">
        <v>0</v>
      </c>
      <c r="K850" s="28">
        <v>0</v>
      </c>
      <c r="L850" s="28">
        <v>0</v>
      </c>
      <c r="M850" s="28">
        <v>0</v>
      </c>
    </row>
    <row r="851" spans="1:13" ht="15" customHeight="1">
      <c r="A851" s="10" t="str">
        <f t="shared" si="1575"/>
        <v>B8</v>
      </c>
      <c r="B851" s="28">
        <v>0</v>
      </c>
      <c r="C851" s="28">
        <v>0</v>
      </c>
      <c r="D851" s="28">
        <v>0</v>
      </c>
      <c r="E851" s="28">
        <v>0</v>
      </c>
      <c r="F851" s="28">
        <v>0</v>
      </c>
      <c r="G851" s="28">
        <v>0</v>
      </c>
      <c r="H851" s="28">
        <v>0</v>
      </c>
      <c r="I851" s="28">
        <v>0</v>
      </c>
      <c r="J851" s="28">
        <v>0</v>
      </c>
      <c r="K851" s="28">
        <v>0</v>
      </c>
      <c r="L851" s="28">
        <v>0</v>
      </c>
      <c r="M851" s="28">
        <v>0</v>
      </c>
    </row>
    <row r="852" spans="1:13" ht="15" customHeight="1">
      <c r="A852" s="10" t="str">
        <f t="shared" si="1575"/>
        <v>B9</v>
      </c>
      <c r="B852" s="28">
        <v>0</v>
      </c>
      <c r="C852" s="28">
        <v>0</v>
      </c>
      <c r="D852" s="28">
        <v>0</v>
      </c>
      <c r="E852" s="28">
        <v>0</v>
      </c>
      <c r="F852" s="28">
        <v>0</v>
      </c>
      <c r="G852" s="28">
        <v>0</v>
      </c>
      <c r="H852" s="28">
        <v>0</v>
      </c>
      <c r="I852" s="28">
        <v>0</v>
      </c>
      <c r="J852" s="28">
        <v>0</v>
      </c>
      <c r="K852" s="28">
        <v>0</v>
      </c>
      <c r="L852" s="28">
        <v>0</v>
      </c>
      <c r="M852" s="28">
        <v>0</v>
      </c>
    </row>
    <row r="853" spans="1:13" ht="15" customHeight="1">
      <c r="A853" s="10" t="str">
        <f t="shared" si="1575"/>
        <v>B10</v>
      </c>
      <c r="B853" s="28">
        <v>0</v>
      </c>
      <c r="C853" s="28">
        <v>0</v>
      </c>
      <c r="D853" s="28">
        <v>0</v>
      </c>
      <c r="E853" s="28">
        <v>0</v>
      </c>
      <c r="F853" s="28">
        <v>0</v>
      </c>
      <c r="G853" s="28">
        <v>0</v>
      </c>
      <c r="H853" s="28">
        <v>0</v>
      </c>
      <c r="I853" s="28">
        <v>0</v>
      </c>
      <c r="J853" s="28">
        <v>0</v>
      </c>
      <c r="K853" s="28">
        <v>0</v>
      </c>
      <c r="L853" s="28">
        <v>0</v>
      </c>
      <c r="M853" s="28">
        <v>0</v>
      </c>
    </row>
    <row r="854" spans="1:13" ht="15" customHeight="1">
      <c r="A854" s="31"/>
      <c r="B854" s="31"/>
      <c r="C854" s="31"/>
      <c r="D854" s="31"/>
      <c r="E854" s="31"/>
      <c r="F854" s="31"/>
      <c r="G854" s="31"/>
      <c r="H854" s="31"/>
      <c r="I854" s="31"/>
      <c r="J854" s="31"/>
      <c r="K854" s="31"/>
      <c r="L854" s="31"/>
      <c r="M854" s="31"/>
    </row>
    <row r="855" spans="1:13" ht="15" customHeight="1">
      <c r="A855" s="10" t="s">
        <v>50</v>
      </c>
      <c r="B855" s="31"/>
      <c r="C855" s="31"/>
      <c r="D855" s="31"/>
      <c r="E855" s="31"/>
      <c r="F855" s="31"/>
      <c r="G855" s="31"/>
      <c r="H855" s="31"/>
      <c r="I855" s="31"/>
      <c r="J855" s="31"/>
      <c r="K855" s="31"/>
      <c r="L855" s="31"/>
      <c r="M855" s="31"/>
    </row>
    <row r="856" spans="1:13" ht="15" customHeight="1">
      <c r="A856" s="3" t="str">
        <f t="shared" ref="A856:A865" si="1576">A844</f>
        <v>B1</v>
      </c>
      <c r="B856" s="14">
        <v>212164</v>
      </c>
      <c r="C856" s="14">
        <v>199800</v>
      </c>
      <c r="D856" s="14">
        <v>182795</v>
      </c>
      <c r="E856" s="14">
        <v>178144</v>
      </c>
      <c r="F856" s="14">
        <v>176035</v>
      </c>
      <c r="G856" s="14">
        <v>173992</v>
      </c>
      <c r="H856" s="14">
        <v>170910</v>
      </c>
      <c r="I856" s="14">
        <v>169404</v>
      </c>
      <c r="J856" s="14">
        <v>169104</v>
      </c>
      <c r="K856" s="14">
        <v>164687</v>
      </c>
      <c r="L856" s="14">
        <v>156508</v>
      </c>
      <c r="M856" s="14">
        <v>148812</v>
      </c>
    </row>
    <row r="857" spans="1:13" ht="15" customHeight="1">
      <c r="A857" s="3" t="str">
        <f t="shared" si="1576"/>
        <v>B2</v>
      </c>
      <c r="B857" s="14">
        <v>0</v>
      </c>
      <c r="C857" s="14">
        <v>0</v>
      </c>
      <c r="D857" s="14">
        <v>0</v>
      </c>
      <c r="E857" s="14">
        <v>0</v>
      </c>
      <c r="F857" s="14">
        <v>0</v>
      </c>
      <c r="G857" s="14">
        <v>0</v>
      </c>
      <c r="H857" s="14">
        <v>0</v>
      </c>
      <c r="I857" s="14">
        <v>0</v>
      </c>
      <c r="J857" s="14">
        <v>0</v>
      </c>
      <c r="K857" s="14">
        <v>0</v>
      </c>
      <c r="L857" s="14">
        <v>0</v>
      </c>
      <c r="M857" s="14">
        <v>0</v>
      </c>
    </row>
    <row r="858" spans="1:13" ht="15" customHeight="1">
      <c r="A858" s="3" t="str">
        <f t="shared" si="1576"/>
        <v>B3</v>
      </c>
      <c r="B858" s="14">
        <v>0</v>
      </c>
      <c r="C858" s="14">
        <v>0</v>
      </c>
      <c r="D858" s="14">
        <v>0</v>
      </c>
      <c r="E858" s="14">
        <v>0</v>
      </c>
      <c r="F858" s="14">
        <v>0</v>
      </c>
      <c r="G858" s="14">
        <v>0</v>
      </c>
      <c r="H858" s="14">
        <v>0</v>
      </c>
      <c r="I858" s="14">
        <v>0</v>
      </c>
      <c r="J858" s="14">
        <v>0</v>
      </c>
      <c r="K858" s="14">
        <v>0</v>
      </c>
      <c r="L858" s="14">
        <v>0</v>
      </c>
      <c r="M858" s="14">
        <v>0</v>
      </c>
    </row>
    <row r="859" spans="1:13" ht="15" customHeight="1">
      <c r="A859" s="3" t="str">
        <f t="shared" si="1576"/>
        <v>B4</v>
      </c>
      <c r="B859" s="14">
        <v>0</v>
      </c>
      <c r="C859" s="14">
        <v>0</v>
      </c>
      <c r="D859" s="14">
        <v>0</v>
      </c>
      <c r="E859" s="14">
        <v>0</v>
      </c>
      <c r="F859" s="14">
        <v>0</v>
      </c>
      <c r="G859" s="14">
        <v>0</v>
      </c>
      <c r="H859" s="14">
        <v>0</v>
      </c>
      <c r="I859" s="14">
        <v>0</v>
      </c>
      <c r="J859" s="14">
        <v>0</v>
      </c>
      <c r="K859" s="14">
        <v>0</v>
      </c>
      <c r="L859" s="14">
        <v>0</v>
      </c>
      <c r="M859" s="14">
        <v>0</v>
      </c>
    </row>
    <row r="860" spans="1:13" ht="15" customHeight="1">
      <c r="A860" s="3" t="str">
        <f t="shared" si="1576"/>
        <v>B5</v>
      </c>
      <c r="B860" s="14">
        <v>0</v>
      </c>
      <c r="C860" s="14">
        <v>0</v>
      </c>
      <c r="D860" s="14">
        <v>0</v>
      </c>
      <c r="E860" s="14">
        <v>0</v>
      </c>
      <c r="F860" s="14">
        <v>0</v>
      </c>
      <c r="G860" s="14">
        <v>0</v>
      </c>
      <c r="H860" s="14">
        <v>0</v>
      </c>
      <c r="I860" s="14">
        <v>0</v>
      </c>
      <c r="J860" s="14">
        <v>0</v>
      </c>
      <c r="K860" s="14">
        <v>0</v>
      </c>
      <c r="L860" s="14">
        <v>0</v>
      </c>
      <c r="M860" s="14">
        <v>0</v>
      </c>
    </row>
    <row r="861" spans="1:13" ht="15" customHeight="1">
      <c r="A861" s="3" t="str">
        <f t="shared" si="1576"/>
        <v>B6</v>
      </c>
      <c r="B861" s="14">
        <v>0</v>
      </c>
      <c r="C861" s="14">
        <v>0</v>
      </c>
      <c r="D861" s="14">
        <v>0</v>
      </c>
      <c r="E861" s="14">
        <v>0</v>
      </c>
      <c r="F861" s="14">
        <v>0</v>
      </c>
      <c r="G861" s="14">
        <v>0</v>
      </c>
      <c r="H861" s="14">
        <v>0</v>
      </c>
      <c r="I861" s="14">
        <v>0</v>
      </c>
      <c r="J861" s="14">
        <v>0</v>
      </c>
      <c r="K861" s="14">
        <v>0</v>
      </c>
      <c r="L861" s="14">
        <v>0</v>
      </c>
      <c r="M861" s="14">
        <v>0</v>
      </c>
    </row>
    <row r="862" spans="1:13" ht="15" customHeight="1">
      <c r="A862" s="3" t="str">
        <f t="shared" si="1576"/>
        <v>B7</v>
      </c>
      <c r="B862" s="14">
        <v>0</v>
      </c>
      <c r="C862" s="14">
        <v>0</v>
      </c>
      <c r="D862" s="14">
        <v>0</v>
      </c>
      <c r="E862" s="14">
        <v>0</v>
      </c>
      <c r="F862" s="14">
        <v>0</v>
      </c>
      <c r="G862" s="14">
        <v>0</v>
      </c>
      <c r="H862" s="14">
        <v>0</v>
      </c>
      <c r="I862" s="14">
        <v>0</v>
      </c>
      <c r="J862" s="14">
        <v>0</v>
      </c>
      <c r="K862" s="14">
        <v>0</v>
      </c>
      <c r="L862" s="14">
        <v>0</v>
      </c>
      <c r="M862" s="14">
        <v>0</v>
      </c>
    </row>
    <row r="863" spans="1:13" ht="15" customHeight="1">
      <c r="A863" s="3" t="str">
        <f t="shared" si="1576"/>
        <v>B8</v>
      </c>
      <c r="B863" s="14">
        <v>0</v>
      </c>
      <c r="C863" s="14">
        <v>0</v>
      </c>
      <c r="D863" s="14">
        <v>0</v>
      </c>
      <c r="E863" s="14">
        <v>0</v>
      </c>
      <c r="F863" s="14">
        <v>0</v>
      </c>
      <c r="G863" s="14">
        <v>0</v>
      </c>
      <c r="H863" s="14">
        <v>0</v>
      </c>
      <c r="I863" s="14">
        <v>0</v>
      </c>
      <c r="J863" s="14">
        <v>0</v>
      </c>
      <c r="K863" s="14">
        <v>0</v>
      </c>
      <c r="L863" s="14">
        <v>0</v>
      </c>
      <c r="M863" s="14">
        <v>0</v>
      </c>
    </row>
    <row r="864" spans="1:13" ht="15" customHeight="1">
      <c r="A864" s="3" t="str">
        <f t="shared" si="1576"/>
        <v>B9</v>
      </c>
      <c r="B864" s="14">
        <v>0</v>
      </c>
      <c r="C864" s="14">
        <v>0</v>
      </c>
      <c r="D864" s="14">
        <v>0</v>
      </c>
      <c r="E864" s="14">
        <v>0</v>
      </c>
      <c r="F864" s="14">
        <v>0</v>
      </c>
      <c r="G864" s="14">
        <v>0</v>
      </c>
      <c r="H864" s="14">
        <v>0</v>
      </c>
      <c r="I864" s="14">
        <v>0</v>
      </c>
      <c r="J864" s="14">
        <v>0</v>
      </c>
      <c r="K864" s="14">
        <v>0</v>
      </c>
      <c r="L864" s="14">
        <v>0</v>
      </c>
      <c r="M864" s="14">
        <v>0</v>
      </c>
    </row>
    <row r="865" spans="1:13" ht="15" customHeight="1">
      <c r="A865" s="3" t="str">
        <f t="shared" si="1576"/>
        <v>B10</v>
      </c>
      <c r="B865" s="14">
        <v>0</v>
      </c>
      <c r="C865" s="14">
        <v>0</v>
      </c>
      <c r="D865" s="14">
        <v>0</v>
      </c>
      <c r="E865" s="14">
        <v>0</v>
      </c>
      <c r="F865" s="14">
        <v>0</v>
      </c>
      <c r="G865" s="14">
        <v>0</v>
      </c>
      <c r="H865" s="14">
        <v>0</v>
      </c>
      <c r="I865" s="14">
        <v>0</v>
      </c>
      <c r="J865" s="14">
        <v>0</v>
      </c>
      <c r="K865" s="14">
        <v>0</v>
      </c>
      <c r="L865" s="14">
        <v>0</v>
      </c>
      <c r="M865" s="14">
        <v>0</v>
      </c>
    </row>
    <row r="867" spans="1:13" ht="15" customHeight="1">
      <c r="A867" s="10" t="s">
        <v>58</v>
      </c>
      <c r="B867" s="143" t="s">
        <v>507</v>
      </c>
      <c r="C867" s="143" t="s">
        <v>507</v>
      </c>
      <c r="D867" s="143" t="s">
        <v>507</v>
      </c>
      <c r="E867" s="143" t="s">
        <v>507</v>
      </c>
      <c r="F867" s="143" t="s">
        <v>507</v>
      </c>
      <c r="G867" s="143" t="s">
        <v>507</v>
      </c>
      <c r="H867" s="143" t="s">
        <v>507</v>
      </c>
      <c r="I867" s="143" t="s">
        <v>507</v>
      </c>
      <c r="J867" s="143" t="s">
        <v>507</v>
      </c>
      <c r="K867" s="143" t="s">
        <v>507</v>
      </c>
      <c r="L867" s="143" t="s">
        <v>507</v>
      </c>
      <c r="M867" s="143" t="s">
        <v>507</v>
      </c>
    </row>
    <row r="868" spans="1:13" ht="15" customHeight="1">
      <c r="A868" s="30" t="s">
        <v>38</v>
      </c>
      <c r="B868" s="24">
        <v>6.4352921514986672E-2</v>
      </c>
      <c r="C868" s="24">
        <v>6.4352921514986672E-2</v>
      </c>
      <c r="D868" s="24">
        <v>6.5861604653835504E-2</v>
      </c>
      <c r="E868" s="24">
        <v>6.6287686648085528E-2</v>
      </c>
      <c r="F868" s="24">
        <v>5.9754749337324775E-2</v>
      </c>
      <c r="G868" s="24">
        <v>5.9754749337324775E-2</v>
      </c>
      <c r="H868" s="24">
        <v>5.8254749337324781E-2</v>
      </c>
      <c r="I868" s="24">
        <v>6.6045728963375794E-2</v>
      </c>
      <c r="J868" s="24">
        <v>7.4630739752021766E-2</v>
      </c>
      <c r="K868" s="24">
        <v>7.4463348646386124E-2</v>
      </c>
      <c r="L868" s="24">
        <v>7.4295957540750482E-2</v>
      </c>
      <c r="M868" s="24">
        <v>7.4295957540750482E-2</v>
      </c>
    </row>
    <row r="869" spans="1:13" ht="15" customHeight="1">
      <c r="A869" s="30" t="s">
        <v>37</v>
      </c>
      <c r="B869" s="24">
        <v>0</v>
      </c>
      <c r="C869" s="24">
        <v>0</v>
      </c>
      <c r="D869" s="24">
        <v>0</v>
      </c>
      <c r="E869" s="24">
        <v>0</v>
      </c>
      <c r="F869" s="24">
        <v>0</v>
      </c>
      <c r="G869" s="24">
        <v>0</v>
      </c>
      <c r="H869" s="24">
        <v>0</v>
      </c>
      <c r="I869" s="24">
        <v>0</v>
      </c>
      <c r="J869" s="24">
        <v>0</v>
      </c>
      <c r="K869" s="24">
        <v>0</v>
      </c>
      <c r="L869" s="24">
        <v>0</v>
      </c>
      <c r="M869" s="24">
        <v>0</v>
      </c>
    </row>
    <row r="870" spans="1:13" ht="15" customHeight="1">
      <c r="A870" s="30" t="s">
        <v>36</v>
      </c>
      <c r="B870" s="24">
        <v>0</v>
      </c>
      <c r="C870" s="24">
        <v>0</v>
      </c>
      <c r="D870" s="24">
        <v>0</v>
      </c>
      <c r="E870" s="24">
        <v>0</v>
      </c>
      <c r="F870" s="24">
        <v>0</v>
      </c>
      <c r="G870" s="24">
        <v>0</v>
      </c>
      <c r="H870" s="24">
        <v>0</v>
      </c>
      <c r="I870" s="24">
        <v>0</v>
      </c>
      <c r="J870" s="24">
        <v>0</v>
      </c>
      <c r="K870" s="24">
        <v>0</v>
      </c>
      <c r="L870" s="24">
        <v>0</v>
      </c>
      <c r="M870" s="24">
        <v>0</v>
      </c>
    </row>
    <row r="871" spans="1:13" ht="15" customHeight="1">
      <c r="A871" s="30" t="s">
        <v>35</v>
      </c>
      <c r="B871" s="24">
        <v>0</v>
      </c>
      <c r="C871" s="24">
        <v>0</v>
      </c>
      <c r="D871" s="24">
        <v>0</v>
      </c>
      <c r="E871" s="24">
        <v>0</v>
      </c>
      <c r="F871" s="24">
        <v>0</v>
      </c>
      <c r="G871" s="24">
        <v>0</v>
      </c>
      <c r="H871" s="24">
        <v>0</v>
      </c>
      <c r="I871" s="24">
        <v>0</v>
      </c>
      <c r="J871" s="24">
        <v>0</v>
      </c>
      <c r="K871" s="24">
        <v>0</v>
      </c>
      <c r="L871" s="24">
        <v>0</v>
      </c>
      <c r="M871" s="24">
        <v>0</v>
      </c>
    </row>
    <row r="872" spans="1:13" ht="15" customHeight="1">
      <c r="A872" s="30" t="s">
        <v>59</v>
      </c>
      <c r="B872" s="24">
        <v>0</v>
      </c>
      <c r="C872" s="24">
        <v>0</v>
      </c>
      <c r="D872" s="24">
        <v>0</v>
      </c>
      <c r="E872" s="24">
        <v>0</v>
      </c>
      <c r="F872" s="24">
        <v>0</v>
      </c>
      <c r="G872" s="24">
        <v>0</v>
      </c>
      <c r="H872" s="24">
        <v>0</v>
      </c>
      <c r="I872" s="24">
        <v>0</v>
      </c>
      <c r="J872" s="24">
        <v>0</v>
      </c>
      <c r="K872" s="24">
        <v>0</v>
      </c>
      <c r="L872" s="24">
        <v>0</v>
      </c>
      <c r="M872" s="24">
        <v>0</v>
      </c>
    </row>
    <row r="873" spans="1:13" ht="15" customHeight="1">
      <c r="A873" s="30" t="s">
        <v>60</v>
      </c>
      <c r="B873" s="24">
        <v>0</v>
      </c>
      <c r="C873" s="24">
        <v>0</v>
      </c>
      <c r="D873" s="24">
        <v>0</v>
      </c>
      <c r="E873" s="24">
        <v>0</v>
      </c>
      <c r="F873" s="24">
        <v>0</v>
      </c>
      <c r="G873" s="24">
        <v>0</v>
      </c>
      <c r="H873" s="24">
        <v>0</v>
      </c>
      <c r="I873" s="24">
        <v>0</v>
      </c>
      <c r="J873" s="24">
        <v>0</v>
      </c>
      <c r="K873" s="24">
        <v>0</v>
      </c>
      <c r="L873" s="24">
        <v>0</v>
      </c>
      <c r="M873" s="24">
        <v>0</v>
      </c>
    </row>
    <row r="874" spans="1:13" ht="15" customHeight="1">
      <c r="A874" s="30" t="s">
        <v>61</v>
      </c>
      <c r="B874" s="24">
        <v>0</v>
      </c>
      <c r="C874" s="24">
        <v>0</v>
      </c>
      <c r="D874" s="24">
        <v>0</v>
      </c>
      <c r="E874" s="24">
        <v>0</v>
      </c>
      <c r="F874" s="24">
        <v>0</v>
      </c>
      <c r="G874" s="24">
        <v>0</v>
      </c>
      <c r="H874" s="24">
        <v>0</v>
      </c>
      <c r="I874" s="24">
        <v>0</v>
      </c>
      <c r="J874" s="24">
        <v>0</v>
      </c>
      <c r="K874" s="24">
        <v>0</v>
      </c>
      <c r="L874" s="24">
        <v>0</v>
      </c>
      <c r="M874" s="24">
        <v>0</v>
      </c>
    </row>
    <row r="875" spans="1:13" ht="15" customHeight="1">
      <c r="A875" s="30" t="s">
        <v>62</v>
      </c>
      <c r="B875" s="24">
        <v>0</v>
      </c>
      <c r="C875" s="24">
        <v>0</v>
      </c>
      <c r="D875" s="24">
        <v>0</v>
      </c>
      <c r="E875" s="24">
        <v>0</v>
      </c>
      <c r="F875" s="24">
        <v>0</v>
      </c>
      <c r="G875" s="24">
        <v>0</v>
      </c>
      <c r="H875" s="24">
        <v>0</v>
      </c>
      <c r="I875" s="24">
        <v>0</v>
      </c>
      <c r="J875" s="24">
        <v>0</v>
      </c>
      <c r="K875" s="24">
        <v>0</v>
      </c>
      <c r="L875" s="24">
        <v>0</v>
      </c>
      <c r="M875" s="24">
        <v>0</v>
      </c>
    </row>
    <row r="876" spans="1:13" ht="15" customHeight="1">
      <c r="A876" s="30" t="s">
        <v>63</v>
      </c>
      <c r="B876" s="24">
        <v>0</v>
      </c>
      <c r="C876" s="24">
        <v>0</v>
      </c>
      <c r="D876" s="24">
        <v>0</v>
      </c>
      <c r="E876" s="24">
        <v>0</v>
      </c>
      <c r="F876" s="24">
        <v>0</v>
      </c>
      <c r="G876" s="24">
        <v>0</v>
      </c>
      <c r="H876" s="24">
        <v>0</v>
      </c>
      <c r="I876" s="24">
        <v>0</v>
      </c>
      <c r="J876" s="24">
        <v>0</v>
      </c>
      <c r="K876" s="24">
        <v>0</v>
      </c>
      <c r="L876" s="24">
        <v>0</v>
      </c>
      <c r="M876" s="24">
        <v>0</v>
      </c>
    </row>
    <row r="877" spans="1:13" ht="15" customHeight="1">
      <c r="A877" s="30" t="s">
        <v>64</v>
      </c>
      <c r="B877" s="24">
        <v>0</v>
      </c>
      <c r="C877" s="24">
        <v>0</v>
      </c>
      <c r="D877" s="24">
        <v>0</v>
      </c>
      <c r="E877" s="24">
        <v>0</v>
      </c>
      <c r="F877" s="24">
        <v>0</v>
      </c>
      <c r="G877" s="24">
        <v>0</v>
      </c>
      <c r="H877" s="24">
        <v>0</v>
      </c>
      <c r="I877" s="24">
        <v>0</v>
      </c>
      <c r="J877" s="24">
        <v>0</v>
      </c>
      <c r="K877" s="24">
        <v>0</v>
      </c>
      <c r="L877" s="24">
        <v>0</v>
      </c>
      <c r="M877" s="24">
        <v>0</v>
      </c>
    </row>
    <row r="878" spans="1:13" ht="15" customHeight="1">
      <c r="A878" s="104"/>
      <c r="B878" s="50"/>
      <c r="C878" s="50"/>
      <c r="D878" s="50"/>
      <c r="E878" s="50"/>
      <c r="F878" s="50"/>
      <c r="G878" s="50"/>
      <c r="H878" s="50"/>
      <c r="I878" s="50"/>
      <c r="J878" s="50"/>
      <c r="K878" s="50"/>
      <c r="L878" s="50"/>
      <c r="M878" s="50"/>
    </row>
    <row r="879" spans="1:13" ht="15" customHeight="1">
      <c r="A879" s="10" t="s">
        <v>57</v>
      </c>
      <c r="B879" s="50"/>
      <c r="C879" s="50"/>
      <c r="D879" s="50"/>
      <c r="E879" s="50"/>
      <c r="F879" s="50"/>
      <c r="G879" s="50"/>
      <c r="H879" s="50"/>
      <c r="I879" s="50"/>
      <c r="J879" s="50"/>
      <c r="K879" s="50"/>
      <c r="L879" s="50"/>
      <c r="M879" s="50"/>
    </row>
    <row r="880" spans="1:13" ht="15" customHeight="1">
      <c r="A880" s="3" t="str">
        <f t="shared" ref="A880:A889" si="1577">A868</f>
        <v>F1</v>
      </c>
      <c r="B880" s="14">
        <v>212164</v>
      </c>
      <c r="C880" s="14">
        <v>199800</v>
      </c>
      <c r="D880" s="14">
        <v>182795</v>
      </c>
      <c r="E880" s="14">
        <v>178144</v>
      </c>
      <c r="F880" s="14">
        <v>176035</v>
      </c>
      <c r="G880" s="14">
        <v>173992</v>
      </c>
      <c r="H880" s="14">
        <v>170910</v>
      </c>
      <c r="I880" s="14">
        <v>169404</v>
      </c>
      <c r="J880" s="14">
        <v>169104</v>
      </c>
      <c r="K880" s="14">
        <v>164687</v>
      </c>
      <c r="L880" s="14">
        <v>156508</v>
      </c>
      <c r="M880" s="14">
        <v>148812</v>
      </c>
    </row>
    <row r="881" spans="1:13" ht="15" customHeight="1">
      <c r="A881" s="3" t="str">
        <f t="shared" si="1577"/>
        <v>F2</v>
      </c>
      <c r="B881" s="14">
        <v>0</v>
      </c>
      <c r="C881" s="14">
        <v>0</v>
      </c>
      <c r="D881" s="14">
        <v>0</v>
      </c>
      <c r="E881" s="14">
        <v>0</v>
      </c>
      <c r="F881" s="14">
        <v>0</v>
      </c>
      <c r="G881" s="14">
        <v>0</v>
      </c>
      <c r="H881" s="14">
        <v>0</v>
      </c>
      <c r="I881" s="14">
        <v>0</v>
      </c>
      <c r="J881" s="14">
        <v>0</v>
      </c>
      <c r="K881" s="14">
        <v>0</v>
      </c>
      <c r="L881" s="14">
        <v>0</v>
      </c>
      <c r="M881" s="14">
        <v>0</v>
      </c>
    </row>
    <row r="882" spans="1:13" ht="15" customHeight="1">
      <c r="A882" s="3" t="str">
        <f t="shared" si="1577"/>
        <v>F3</v>
      </c>
      <c r="B882" s="14">
        <v>0</v>
      </c>
      <c r="C882" s="14">
        <v>0</v>
      </c>
      <c r="D882" s="14">
        <v>0</v>
      </c>
      <c r="E882" s="14">
        <v>0</v>
      </c>
      <c r="F882" s="14">
        <v>0</v>
      </c>
      <c r="G882" s="14">
        <v>0</v>
      </c>
      <c r="H882" s="14">
        <v>0</v>
      </c>
      <c r="I882" s="14">
        <v>0</v>
      </c>
      <c r="J882" s="14">
        <v>0</v>
      </c>
      <c r="K882" s="14">
        <v>0</v>
      </c>
      <c r="L882" s="14">
        <v>0</v>
      </c>
      <c r="M882" s="14">
        <v>0</v>
      </c>
    </row>
    <row r="883" spans="1:13" ht="15" customHeight="1">
      <c r="A883" s="3" t="str">
        <f t="shared" si="1577"/>
        <v>F4</v>
      </c>
      <c r="B883" s="14">
        <v>0</v>
      </c>
      <c r="C883" s="14">
        <v>0</v>
      </c>
      <c r="D883" s="14">
        <v>0</v>
      </c>
      <c r="E883" s="14">
        <v>0</v>
      </c>
      <c r="F883" s="14">
        <v>0</v>
      </c>
      <c r="G883" s="14">
        <v>0</v>
      </c>
      <c r="H883" s="14">
        <v>0</v>
      </c>
      <c r="I883" s="14">
        <v>0</v>
      </c>
      <c r="J883" s="14">
        <v>0</v>
      </c>
      <c r="K883" s="14">
        <v>0</v>
      </c>
      <c r="L883" s="14">
        <v>0</v>
      </c>
      <c r="M883" s="14">
        <v>0</v>
      </c>
    </row>
    <row r="884" spans="1:13" ht="15" customHeight="1">
      <c r="A884" s="3" t="str">
        <f t="shared" si="1577"/>
        <v>F5</v>
      </c>
      <c r="B884" s="14">
        <v>0</v>
      </c>
      <c r="C884" s="14">
        <v>0</v>
      </c>
      <c r="D884" s="14">
        <v>0</v>
      </c>
      <c r="E884" s="14">
        <v>0</v>
      </c>
      <c r="F884" s="14">
        <v>0</v>
      </c>
      <c r="G884" s="14">
        <v>0</v>
      </c>
      <c r="H884" s="14">
        <v>0</v>
      </c>
      <c r="I884" s="14">
        <v>0</v>
      </c>
      <c r="J884" s="14">
        <v>0</v>
      </c>
      <c r="K884" s="14">
        <v>0</v>
      </c>
      <c r="L884" s="14">
        <v>0</v>
      </c>
      <c r="M884" s="14">
        <v>0</v>
      </c>
    </row>
    <row r="885" spans="1:13" ht="15" customHeight="1">
      <c r="A885" s="3" t="str">
        <f t="shared" si="1577"/>
        <v>F6</v>
      </c>
      <c r="B885" s="14">
        <v>0</v>
      </c>
      <c r="C885" s="14">
        <v>0</v>
      </c>
      <c r="D885" s="14">
        <v>0</v>
      </c>
      <c r="E885" s="14">
        <v>0</v>
      </c>
      <c r="F885" s="14">
        <v>0</v>
      </c>
      <c r="G885" s="14">
        <v>0</v>
      </c>
      <c r="H885" s="14">
        <v>0</v>
      </c>
      <c r="I885" s="14">
        <v>0</v>
      </c>
      <c r="J885" s="14">
        <v>0</v>
      </c>
      <c r="K885" s="14">
        <v>0</v>
      </c>
      <c r="L885" s="14">
        <v>0</v>
      </c>
      <c r="M885" s="14">
        <v>0</v>
      </c>
    </row>
    <row r="886" spans="1:13" ht="15" customHeight="1">
      <c r="A886" s="3" t="str">
        <f t="shared" si="1577"/>
        <v>F7</v>
      </c>
      <c r="B886" s="14">
        <v>0</v>
      </c>
      <c r="C886" s="14">
        <v>0</v>
      </c>
      <c r="D886" s="14">
        <v>0</v>
      </c>
      <c r="E886" s="14">
        <v>0</v>
      </c>
      <c r="F886" s="14">
        <v>0</v>
      </c>
      <c r="G886" s="14">
        <v>0</v>
      </c>
      <c r="H886" s="14">
        <v>0</v>
      </c>
      <c r="I886" s="14">
        <v>0</v>
      </c>
      <c r="J886" s="14">
        <v>0</v>
      </c>
      <c r="K886" s="14">
        <v>0</v>
      </c>
      <c r="L886" s="14">
        <v>0</v>
      </c>
      <c r="M886" s="14">
        <v>0</v>
      </c>
    </row>
    <row r="887" spans="1:13" ht="15" customHeight="1">
      <c r="A887" s="3" t="str">
        <f t="shared" si="1577"/>
        <v>F8</v>
      </c>
      <c r="B887" s="14">
        <v>0</v>
      </c>
      <c r="C887" s="14">
        <v>0</v>
      </c>
      <c r="D887" s="14">
        <v>0</v>
      </c>
      <c r="E887" s="14">
        <v>0</v>
      </c>
      <c r="F887" s="14">
        <v>0</v>
      </c>
      <c r="G887" s="14">
        <v>0</v>
      </c>
      <c r="H887" s="14">
        <v>0</v>
      </c>
      <c r="I887" s="14">
        <v>0</v>
      </c>
      <c r="J887" s="14">
        <v>0</v>
      </c>
      <c r="K887" s="14">
        <v>0</v>
      </c>
      <c r="L887" s="14">
        <v>0</v>
      </c>
      <c r="M887" s="14">
        <v>0</v>
      </c>
    </row>
    <row r="888" spans="1:13" ht="15" customHeight="1">
      <c r="A888" s="3" t="str">
        <f t="shared" si="1577"/>
        <v>F9</v>
      </c>
      <c r="B888" s="14">
        <v>0</v>
      </c>
      <c r="C888" s="14">
        <v>0</v>
      </c>
      <c r="D888" s="14">
        <v>0</v>
      </c>
      <c r="E888" s="14">
        <v>0</v>
      </c>
      <c r="F888" s="14">
        <v>0</v>
      </c>
      <c r="G888" s="14">
        <v>0</v>
      </c>
      <c r="H888" s="14">
        <v>0</v>
      </c>
      <c r="I888" s="14">
        <v>0</v>
      </c>
      <c r="J888" s="14">
        <v>0</v>
      </c>
      <c r="K888" s="14">
        <v>0</v>
      </c>
      <c r="L888" s="14">
        <v>0</v>
      </c>
      <c r="M888" s="14">
        <v>0</v>
      </c>
    </row>
    <row r="889" spans="1:13" ht="15" customHeight="1">
      <c r="A889" s="3" t="str">
        <f t="shared" si="1577"/>
        <v>F10</v>
      </c>
      <c r="B889" s="14">
        <v>0</v>
      </c>
      <c r="C889" s="14">
        <v>0</v>
      </c>
      <c r="D889" s="14">
        <v>0</v>
      </c>
      <c r="E889" s="14">
        <v>0</v>
      </c>
      <c r="F889" s="14">
        <v>0</v>
      </c>
      <c r="G889" s="14">
        <v>0</v>
      </c>
      <c r="H889" s="14">
        <v>0</v>
      </c>
      <c r="I889" s="14">
        <v>0</v>
      </c>
      <c r="J889" s="14">
        <v>0</v>
      </c>
      <c r="K889" s="14">
        <v>0</v>
      </c>
      <c r="L889" s="14">
        <v>0</v>
      </c>
      <c r="M889" s="14">
        <v>0</v>
      </c>
    </row>
    <row r="892" spans="1:13" ht="15" customHeight="1">
      <c r="A892" s="106" t="s">
        <v>107</v>
      </c>
      <c r="B892" s="27"/>
      <c r="C892" s="27"/>
      <c r="D892" s="27"/>
      <c r="E892" s="27"/>
      <c r="F892" s="27"/>
      <c r="G892" s="27"/>
      <c r="H892" s="27"/>
      <c r="I892" s="27"/>
      <c r="J892" s="27"/>
      <c r="K892" s="27"/>
      <c r="L892" s="27"/>
      <c r="M892" s="27"/>
    </row>
    <row r="893" spans="1:13" ht="15" customHeight="1">
      <c r="A893" s="102" t="s">
        <v>304</v>
      </c>
      <c r="B893" s="38">
        <f t="shared" ref="B893:I893" ca="1" si="1578">OFFSET(B751,B751,0)</f>
        <v>2.9499999999999998E-2</v>
      </c>
      <c r="C893" s="38">
        <f t="shared" ca="1" si="1578"/>
        <v>0.03</v>
      </c>
      <c r="D893" s="38">
        <f t="shared" ca="1" si="1578"/>
        <v>3.4799999999999998E-2</v>
      </c>
      <c r="E893" s="38">
        <f t="shared" ca="1" si="1578"/>
        <v>3.5999999999999997E-2</v>
      </c>
      <c r="F893" s="38">
        <f t="shared" ca="1" si="1578"/>
        <v>3.6999999999999998E-2</v>
      </c>
      <c r="G893" s="38">
        <f t="shared" ca="1" si="1578"/>
        <v>3.7199999999999997E-2</v>
      </c>
      <c r="H893" s="38">
        <f t="shared" ca="1" si="1578"/>
        <v>4.0399999999999998E-2</v>
      </c>
      <c r="I893" s="38">
        <f t="shared" ca="1" si="1578"/>
        <v>0.04</v>
      </c>
      <c r="J893" s="38">
        <f t="shared" ref="J893:M893" ca="1" si="1579">OFFSET(J751,J751,0)</f>
        <v>2.7500000000000004E-2</v>
      </c>
      <c r="K893" s="38">
        <f t="shared" ca="1" si="1579"/>
        <v>2.7299999999999998E-2</v>
      </c>
      <c r="L893" s="38">
        <f t="shared" ca="1" si="1579"/>
        <v>2.7999999999999997E-2</v>
      </c>
      <c r="M893" s="38">
        <f t="shared" ca="1" si="1579"/>
        <v>2.6700000000000002E-2</v>
      </c>
    </row>
    <row r="894" spans="1:13" ht="15" customHeight="1">
      <c r="A894" s="102" t="s">
        <v>106</v>
      </c>
      <c r="B894" s="139">
        <f>VLOOKUP(B4,CRP!$A$2:$F$145,5)</f>
        <v>0</v>
      </c>
      <c r="C894" s="139">
        <f>VLOOKUP(C4,CRP!$A$2:$F$145,5)</f>
        <v>0</v>
      </c>
      <c r="D894" s="139">
        <f>VLOOKUP(D4,CRP!$A$2:$F$145,5)</f>
        <v>0</v>
      </c>
      <c r="E894" s="139">
        <f>VLOOKUP(E4,CRP!$A$2:$F$145,5)</f>
        <v>0</v>
      </c>
      <c r="F894" s="139">
        <f>VLOOKUP(F4,CRP!$A$2:$F$145,5)</f>
        <v>0</v>
      </c>
      <c r="G894" s="139">
        <f>VLOOKUP(G4,CRP!$A$2:$F$145,5)</f>
        <v>0</v>
      </c>
      <c r="H894" s="139">
        <f>VLOOKUP(H4,CRP!$A$2:$F$145,5)</f>
        <v>0</v>
      </c>
      <c r="I894" s="139">
        <f>VLOOKUP(I4,CRP!$A$2:$F$145,5)</f>
        <v>0</v>
      </c>
      <c r="J894" s="139">
        <f>VLOOKUP(J4,CRP!$A$2:$F$145,5)</f>
        <v>0</v>
      </c>
      <c r="K894" s="139">
        <f>VLOOKUP(K4,CRP!$A$2:$F$145,5)</f>
        <v>0</v>
      </c>
      <c r="L894" s="139">
        <f>VLOOKUP(L4,CRP!$A$2:$F$145,5)</f>
        <v>0</v>
      </c>
      <c r="M894" s="139">
        <f>VLOOKUP(M4,CRP!$A$2:$F$145,5)</f>
        <v>0</v>
      </c>
    </row>
    <row r="896" spans="1:13" ht="15" customHeight="1">
      <c r="A896" s="102" t="s">
        <v>323</v>
      </c>
      <c r="B896" s="137">
        <f ca="1">VLOOKUP(B553,CHOOSE(B900,SPREAD!$E$4:H18,SPREAD!$J$4:$M$18),4)</f>
        <v>7.4999999999999997E-3</v>
      </c>
      <c r="C896" s="137">
        <f ca="1">VLOOKUP(C553,CHOOSE(C900,SPREAD!$E$4:I18,SPREAD!$J$4:$M$18),4)</f>
        <v>7.4999999999999997E-3</v>
      </c>
      <c r="D896" s="137">
        <f ca="1">VLOOKUP(D553,CHOOSE(D900,SPREAD!$E$4:J18,SPREAD!$J$4:$M$18),4)</f>
        <v>7.4999999999999997E-3</v>
      </c>
      <c r="E896" s="137">
        <f ca="1">VLOOKUP(E553,CHOOSE(E900,SPREAD!$E$4:K18,SPREAD!$J$4:$M$18),4)</f>
        <v>7.4999999999999997E-3</v>
      </c>
      <c r="F896" s="137">
        <f ca="1">VLOOKUP(F553,CHOOSE(F900,SPREAD!$E$4:L18,SPREAD!$J$4:$M$18),4)</f>
        <v>7.4999999999999997E-3</v>
      </c>
      <c r="G896" s="137">
        <f ca="1">VLOOKUP(G553,CHOOSE(G900,SPREAD!$E$4:M18,SPREAD!$J$4:$M$18),4)</f>
        <v>7.4999999999999997E-3</v>
      </c>
      <c r="H896" s="137">
        <f ca="1">VLOOKUP(H553,CHOOSE(H900,SPREAD!$E$4:N18,SPREAD!$J$4:$M$18),4)</f>
        <v>7.4999999999999997E-3</v>
      </c>
      <c r="I896" s="137">
        <f ca="1">VLOOKUP(I553,CHOOSE(I900,SPREAD!$E$4:O18,SPREAD!$J$4:$M$18),4)</f>
        <v>7.4999999999999997E-3</v>
      </c>
      <c r="J896" s="137">
        <f ca="1">VLOOKUP(J553,CHOOSE(J900,SPREAD!$E$4:P18,SPREAD!$J$4:$M$18),4)</f>
        <v>7.4999999999999997E-3</v>
      </c>
      <c r="K896" s="137">
        <f ca="1">VLOOKUP(K553,CHOOSE(K900,SPREAD!$E$4:Q18,SPREAD!$J$4:$M$18),4)</f>
        <v>7.4999999999999997E-3</v>
      </c>
      <c r="L896" s="137">
        <f ca="1">VLOOKUP(L553,CHOOSE(L900,SPREAD!$E$4:R18,SPREAD!$J$4:$M$18),4)</f>
        <v>7.4999999999999997E-3</v>
      </c>
      <c r="M896" s="137">
        <f ca="1">VLOOKUP(M553,CHOOSE(M900,SPREAD!$E$4:S18,SPREAD!$J$4:$M$18),4)</f>
        <v>7.4999999999999997E-3</v>
      </c>
    </row>
    <row r="897" spans="1:13" ht="15" customHeight="1">
      <c r="A897" s="104" t="s">
        <v>140</v>
      </c>
      <c r="B897" s="137">
        <f>VLOOKUP(B901,SPREAD!$B$4:$C$18,2)</f>
        <v>0.01</v>
      </c>
      <c r="C897" s="137">
        <f>VLOOKUP(C901,SPREAD!$B$4:$C$18,2)</f>
        <v>0.01</v>
      </c>
      <c r="D897" s="137">
        <f>VLOOKUP(D901,SPREAD!$B$4:$C$18,2)</f>
        <v>0.01</v>
      </c>
      <c r="E897" s="137">
        <f>VLOOKUP(E901,SPREAD!$B$4:$C$18,2)</f>
        <v>0.01</v>
      </c>
      <c r="F897" s="137">
        <f>VLOOKUP(F901,SPREAD!$B$4:$C$18,2)</f>
        <v>0.01</v>
      </c>
      <c r="G897" s="137">
        <f>VLOOKUP(G901,SPREAD!$B$4:$C$18,2)</f>
        <v>0.01</v>
      </c>
      <c r="H897" s="137">
        <f>VLOOKUP(H901,SPREAD!$B$4:$C$18,2)</f>
        <v>0.01</v>
      </c>
      <c r="I897" s="137">
        <f>VLOOKUP(I901,SPREAD!$B$4:$C$18,2)</f>
        <v>0.01</v>
      </c>
      <c r="J897" s="137">
        <f>VLOOKUP(J901,SPREAD!$B$4:$C$18,2)</f>
        <v>0.01</v>
      </c>
      <c r="K897" s="137">
        <f>VLOOKUP(K901,SPREAD!$B$4:$C$18,2)</f>
        <v>0.01</v>
      </c>
      <c r="L897" s="137">
        <f>VLOOKUP(L901,SPREAD!$B$4:$C$18,2)</f>
        <v>0.01</v>
      </c>
      <c r="M897" s="137">
        <f>VLOOKUP(M901,SPREAD!$B$4:$C$18,2)</f>
        <v>0.01</v>
      </c>
    </row>
    <row r="898" spans="1:13" ht="15" customHeight="1">
      <c r="A898" s="104"/>
      <c r="B898" s="50"/>
      <c r="C898" s="50"/>
      <c r="D898" s="50"/>
      <c r="E898" s="50"/>
      <c r="F898" s="50"/>
      <c r="G898" s="50"/>
      <c r="H898" s="50"/>
      <c r="I898" s="50"/>
      <c r="J898" s="50"/>
      <c r="K898" s="50"/>
      <c r="L898" s="50"/>
      <c r="M898" s="50"/>
    </row>
    <row r="899" spans="1:13" ht="15" customHeight="1">
      <c r="A899" s="102" t="s">
        <v>142</v>
      </c>
      <c r="B899" s="138" t="str">
        <f ca="1">VLOOKUP(B553,CHOOSE(B900,SPREAD!$E$4:$H$18,SPREAD!$J$4:$M$18),3)</f>
        <v>Aaa/AAA</v>
      </c>
      <c r="C899" s="138" t="str">
        <f ca="1">VLOOKUP(C553,CHOOSE(C900,SPREAD!$E$4:$H$18,SPREAD!$J$4:$M$18),3)</f>
        <v>Aaa/AAA</v>
      </c>
      <c r="D899" s="138" t="str">
        <f ca="1">VLOOKUP(D553,CHOOSE(D900,SPREAD!$E$4:$H$18,SPREAD!$J$4:$M$18),3)</f>
        <v>Aaa/AAA</v>
      </c>
      <c r="E899" s="138" t="str">
        <f ca="1">VLOOKUP(E553,CHOOSE(E900,SPREAD!$E$4:$H$18,SPREAD!$J$4:$M$18),3)</f>
        <v>Aaa/AAA</v>
      </c>
      <c r="F899" s="138" t="str">
        <f ca="1">VLOOKUP(F553,CHOOSE(F900,SPREAD!$E$4:$H$18,SPREAD!$J$4:$M$18),3)</f>
        <v>Aaa/AAA</v>
      </c>
      <c r="G899" s="138" t="str">
        <f ca="1">VLOOKUP(G553,CHOOSE(G900,SPREAD!$E$4:$H$18,SPREAD!$J$4:$M$18),3)</f>
        <v>Aaa/AAA</v>
      </c>
      <c r="H899" s="138" t="str">
        <f ca="1">VLOOKUP(H553,CHOOSE(H900,SPREAD!$E$4:$H$18,SPREAD!$J$4:$M$18),3)</f>
        <v>Aaa/AAA</v>
      </c>
      <c r="I899" s="138" t="str">
        <f ca="1">VLOOKUP(I553,CHOOSE(I900,SPREAD!$E$4:$H$18,SPREAD!$J$4:$M$18),3)</f>
        <v>Aaa/AAA</v>
      </c>
      <c r="J899" s="138" t="str">
        <f ca="1">VLOOKUP(J553,CHOOSE(J900,SPREAD!$E$4:$H$18,SPREAD!$J$4:$M$18),3)</f>
        <v>Aaa/AAA</v>
      </c>
      <c r="K899" s="138" t="str">
        <f ca="1">VLOOKUP(K553,CHOOSE(K900,SPREAD!$E$4:$H$18,SPREAD!$J$4:$M$18),3)</f>
        <v>Aaa/AAA</v>
      </c>
      <c r="L899" s="138" t="str">
        <f ca="1">VLOOKUP(L553,CHOOSE(L900,SPREAD!$E$4:$H$18,SPREAD!$J$4:$M$18),3)</f>
        <v>Aaa/AAA</v>
      </c>
      <c r="M899" s="138" t="str">
        <f ca="1">VLOOKUP(M553,CHOOSE(M900,SPREAD!$E$4:$H$18,SPREAD!$J$4:$M$18),3)</f>
        <v>Aaa/AAA</v>
      </c>
    </row>
    <row r="900" spans="1:13" ht="15" customHeight="1">
      <c r="A900" s="103" t="s">
        <v>141</v>
      </c>
      <c r="B900" s="115">
        <v>1</v>
      </c>
      <c r="C900" s="115">
        <v>1</v>
      </c>
      <c r="D900" s="115">
        <v>1</v>
      </c>
      <c r="E900" s="115">
        <v>1</v>
      </c>
      <c r="F900" s="115">
        <v>1</v>
      </c>
      <c r="G900" s="115">
        <v>1</v>
      </c>
      <c r="H900" s="115">
        <v>1</v>
      </c>
      <c r="I900" s="115">
        <v>1</v>
      </c>
      <c r="J900" s="115">
        <v>1</v>
      </c>
      <c r="K900" s="115">
        <v>1</v>
      </c>
      <c r="L900" s="115">
        <v>1</v>
      </c>
      <c r="M900" s="115">
        <v>1</v>
      </c>
    </row>
    <row r="901" spans="1:13" ht="15" customHeight="1">
      <c r="A901" s="104" t="s">
        <v>417</v>
      </c>
      <c r="B901" s="125" t="s">
        <v>68</v>
      </c>
      <c r="C901" s="125" t="s">
        <v>68</v>
      </c>
      <c r="D901" s="125" t="s">
        <v>68</v>
      </c>
      <c r="E901" s="125" t="s">
        <v>68</v>
      </c>
      <c r="F901" s="125" t="s">
        <v>68</v>
      </c>
      <c r="G901" s="125" t="s">
        <v>68</v>
      </c>
      <c r="H901" s="125" t="s">
        <v>68</v>
      </c>
      <c r="I901" s="125" t="s">
        <v>68</v>
      </c>
      <c r="J901" s="125" t="s">
        <v>68</v>
      </c>
      <c r="K901" s="125" t="s">
        <v>68</v>
      </c>
      <c r="L901" s="125" t="s">
        <v>68</v>
      </c>
      <c r="M901" s="125" t="s">
        <v>68</v>
      </c>
    </row>
    <row r="902" spans="1:13" ht="15" customHeight="1">
      <c r="A902" s="1"/>
    </row>
    <row r="903" spans="1:13" ht="15" customHeight="1">
      <c r="A903" s="3" t="s">
        <v>28</v>
      </c>
      <c r="B903" s="98">
        <v>1.95E-2</v>
      </c>
      <c r="C903" s="98">
        <v>0.02</v>
      </c>
      <c r="D903" s="98">
        <v>2.4799999999999999E-2</v>
      </c>
      <c r="E903" s="98">
        <v>2.5999999999999999E-2</v>
      </c>
      <c r="F903" s="98">
        <v>2.7E-2</v>
      </c>
      <c r="G903" s="98">
        <v>2.7199999999999998E-2</v>
      </c>
      <c r="H903" s="98">
        <v>3.04E-2</v>
      </c>
      <c r="I903" s="98">
        <v>0.03</v>
      </c>
      <c r="J903" s="98">
        <v>1.7500000000000002E-2</v>
      </c>
      <c r="K903" s="98">
        <v>1.7299999999999999E-2</v>
      </c>
      <c r="L903" s="98">
        <v>1.7999999999999999E-2</v>
      </c>
      <c r="M903" s="98">
        <v>1.67E-2</v>
      </c>
    </row>
    <row r="904" spans="1:13" ht="15" customHeight="1">
      <c r="A904" s="1"/>
    </row>
    <row r="905" spans="1:13" ht="15" customHeight="1">
      <c r="A905" s="1"/>
    </row>
    <row r="906" spans="1:13" ht="15" customHeight="1">
      <c r="A906" s="106" t="s">
        <v>89</v>
      </c>
      <c r="B906" s="27"/>
      <c r="C906" s="27"/>
      <c r="D906" s="27"/>
      <c r="E906" s="27"/>
      <c r="F906" s="27"/>
      <c r="G906" s="27"/>
      <c r="H906" s="27"/>
      <c r="I906" s="27"/>
      <c r="J906" s="27"/>
      <c r="K906" s="27"/>
      <c r="L906" s="27"/>
      <c r="M906" s="27"/>
    </row>
    <row r="907" spans="1:13" ht="15" customHeight="1">
      <c r="A907" s="103" t="s">
        <v>88</v>
      </c>
      <c r="B907" s="55">
        <v>123.25</v>
      </c>
      <c r="C907" s="55">
        <v>129.09</v>
      </c>
      <c r="D907" s="55">
        <v>100.75</v>
      </c>
      <c r="E907" s="55">
        <v>95</v>
      </c>
      <c r="F907" s="55">
        <v>80.714285714285708</v>
      </c>
      <c r="G907" s="55">
        <v>80.714285714285708</v>
      </c>
      <c r="H907" s="55">
        <v>71.428571428571431</v>
      </c>
      <c r="I907" s="55">
        <v>72.28</v>
      </c>
      <c r="J907" s="55">
        <v>59.714285714285715</v>
      </c>
      <c r="K907" s="55">
        <v>72.8</v>
      </c>
      <c r="L907" s="55">
        <v>72.857142857142861</v>
      </c>
      <c r="M907" s="55">
        <v>83.43</v>
      </c>
    </row>
    <row r="908" spans="1:13" ht="15" customHeight="1">
      <c r="A908" s="103" t="s">
        <v>87</v>
      </c>
      <c r="B908" s="93">
        <v>5762</v>
      </c>
      <c r="C908" s="93">
        <v>5824.75</v>
      </c>
      <c r="D908" s="93">
        <v>5866</v>
      </c>
      <c r="E908" s="93">
        <v>6012.6350000000002</v>
      </c>
      <c r="F908" s="93">
        <v>6029.66</v>
      </c>
      <c r="G908" s="93">
        <v>6029.66</v>
      </c>
      <c r="H908" s="93">
        <v>6359.5</v>
      </c>
      <c r="I908" s="93">
        <v>6359</v>
      </c>
      <c r="J908" s="93">
        <v>6581</v>
      </c>
      <c r="K908" s="93">
        <v>6573</v>
      </c>
      <c r="L908" s="93">
        <v>6574.4560000000001</v>
      </c>
      <c r="M908" s="93">
        <v>6561</v>
      </c>
    </row>
    <row r="910" spans="1:13" ht="15" customHeight="1">
      <c r="A910" s="103" t="s">
        <v>32</v>
      </c>
      <c r="B910" s="82">
        <v>0.2674722594236017</v>
      </c>
      <c r="C910" s="82">
        <v>0.3</v>
      </c>
      <c r="D910" s="82">
        <v>0.3</v>
      </c>
      <c r="E910" s="82">
        <v>0.35</v>
      </c>
      <c r="F910" s="82">
        <v>0.35</v>
      </c>
      <c r="G910" s="82">
        <v>0.35</v>
      </c>
      <c r="H910" s="82">
        <v>0.35</v>
      </c>
      <c r="I910" s="82">
        <v>0.3</v>
      </c>
      <c r="J910" s="82">
        <v>0.4</v>
      </c>
      <c r="K910" s="82">
        <v>0.4</v>
      </c>
      <c r="L910" s="82">
        <v>0.4</v>
      </c>
      <c r="M910" s="82">
        <v>0.4</v>
      </c>
    </row>
    <row r="911" spans="1:13" ht="15" customHeight="1">
      <c r="A911" s="103" t="s">
        <v>82</v>
      </c>
      <c r="B911" s="82">
        <v>0</v>
      </c>
      <c r="C911" s="82">
        <v>0</v>
      </c>
      <c r="D911" s="82">
        <v>0</v>
      </c>
      <c r="E911" s="82">
        <v>0</v>
      </c>
      <c r="F911" s="82">
        <v>0</v>
      </c>
      <c r="G911" s="82">
        <v>0</v>
      </c>
      <c r="H911" s="82">
        <v>0</v>
      </c>
      <c r="I911" s="82">
        <v>0</v>
      </c>
      <c r="J911" s="82">
        <v>0</v>
      </c>
      <c r="K911" s="82">
        <v>0</v>
      </c>
      <c r="L911" s="82">
        <v>0</v>
      </c>
      <c r="M911" s="82">
        <v>0</v>
      </c>
    </row>
    <row r="914" spans="1:13" ht="15" customHeight="1">
      <c r="A914" s="106" t="s">
        <v>482</v>
      </c>
      <c r="B914" s="27"/>
      <c r="C914" s="27"/>
      <c r="D914" s="27"/>
      <c r="E914" s="27"/>
      <c r="F914" s="27"/>
      <c r="G914" s="27"/>
      <c r="H914" s="27"/>
      <c r="I914" s="27"/>
      <c r="J914" s="27"/>
      <c r="K914" s="27"/>
      <c r="L914" s="27"/>
      <c r="M914" s="27"/>
    </row>
    <row r="915" spans="1:13" ht="15" customHeight="1">
      <c r="A915" s="103" t="s">
        <v>69</v>
      </c>
      <c r="B915" s="86">
        <v>129006</v>
      </c>
      <c r="C915" s="86">
        <v>123328</v>
      </c>
      <c r="D915" s="86">
        <v>111547</v>
      </c>
      <c r="E915" s="86">
        <v>120940</v>
      </c>
      <c r="F915" s="86">
        <v>120179</v>
      </c>
      <c r="G915" s="86">
        <v>129684</v>
      </c>
      <c r="H915" s="86">
        <v>123549</v>
      </c>
      <c r="I915" s="86">
        <v>123354</v>
      </c>
      <c r="J915" s="86">
        <v>135490</v>
      </c>
      <c r="K915" s="86">
        <v>127346</v>
      </c>
      <c r="L915" s="86">
        <v>118210</v>
      </c>
      <c r="M915" s="86">
        <v>111746</v>
      </c>
    </row>
    <row r="918" spans="1:13" ht="15" customHeight="1">
      <c r="A918" s="106" t="s">
        <v>81</v>
      </c>
      <c r="B918" s="27"/>
      <c r="C918" s="27"/>
      <c r="D918" s="27"/>
      <c r="E918" s="27"/>
      <c r="F918" s="27"/>
      <c r="G918" s="27"/>
      <c r="H918" s="27"/>
      <c r="I918" s="27"/>
      <c r="J918" s="27"/>
      <c r="K918" s="27"/>
      <c r="L918" s="27"/>
      <c r="M918" s="27"/>
    </row>
    <row r="919" spans="1:13" ht="15" customHeight="1">
      <c r="A919" s="3" t="s">
        <v>29</v>
      </c>
      <c r="B919" s="18" t="s">
        <v>6</v>
      </c>
      <c r="C919" s="18" t="s">
        <v>6</v>
      </c>
      <c r="D919" s="18" t="s">
        <v>6</v>
      </c>
      <c r="E919" s="18" t="s">
        <v>6</v>
      </c>
      <c r="F919" s="18" t="s">
        <v>6</v>
      </c>
      <c r="G919" s="18" t="s">
        <v>6</v>
      </c>
      <c r="H919" s="18" t="s">
        <v>6</v>
      </c>
      <c r="I919" s="18" t="s">
        <v>6</v>
      </c>
      <c r="J919" s="18" t="s">
        <v>6</v>
      </c>
      <c r="K919" s="18" t="s">
        <v>6</v>
      </c>
      <c r="L919" s="18" t="s">
        <v>6</v>
      </c>
      <c r="M919" s="18" t="s">
        <v>6</v>
      </c>
    </row>
    <row r="920" spans="1:13" ht="15" customHeight="1">
      <c r="A920" s="102" t="s">
        <v>422</v>
      </c>
      <c r="B920" s="91"/>
      <c r="C920" s="91"/>
      <c r="D920" s="91"/>
      <c r="E920" s="91"/>
      <c r="F920" s="91"/>
      <c r="G920" s="91"/>
      <c r="H920" s="91"/>
      <c r="I920" s="91"/>
      <c r="J920" s="91"/>
      <c r="K920" s="91"/>
      <c r="L920" s="91"/>
      <c r="M920" s="91"/>
    </row>
    <row r="921" spans="1:13" ht="15" customHeight="1">
      <c r="A921" s="103" t="s">
        <v>30</v>
      </c>
      <c r="B921" s="91">
        <v>18.149999999999999</v>
      </c>
      <c r="C921" s="91">
        <v>19.61</v>
      </c>
      <c r="D921" s="91">
        <v>21.99</v>
      </c>
      <c r="E921" s="91">
        <v>20.009999999999998</v>
      </c>
      <c r="F921" s="91">
        <v>140.07</v>
      </c>
      <c r="G921" s="91">
        <v>140.07</v>
      </c>
      <c r="H921" s="91">
        <v>139.65</v>
      </c>
      <c r="I921" s="91">
        <v>127.56</v>
      </c>
      <c r="J921" s="91">
        <v>133.5</v>
      </c>
      <c r="K921" s="91">
        <v>130.63</v>
      </c>
      <c r="L921" s="91">
        <v>127.56</v>
      </c>
      <c r="M921" s="91">
        <v>119.75</v>
      </c>
    </row>
    <row r="922" spans="1:13" ht="15" customHeight="1">
      <c r="A922" s="103" t="s">
        <v>31</v>
      </c>
      <c r="B922" s="151">
        <v>2.6</v>
      </c>
      <c r="C922" s="151">
        <v>4</v>
      </c>
      <c r="D922" s="151">
        <v>4</v>
      </c>
      <c r="E922" s="151">
        <v>1</v>
      </c>
      <c r="F922" s="151">
        <v>1</v>
      </c>
      <c r="G922" s="151">
        <v>1</v>
      </c>
      <c r="H922" s="151">
        <v>1</v>
      </c>
      <c r="I922" s="151">
        <v>1.9</v>
      </c>
      <c r="J922" s="151">
        <v>1.5</v>
      </c>
      <c r="K922" s="151">
        <v>1.7</v>
      </c>
      <c r="L922" s="151">
        <v>1.9</v>
      </c>
      <c r="M922" s="151">
        <v>1.9</v>
      </c>
    </row>
    <row r="923" spans="1:13" ht="15" customHeight="1">
      <c r="A923" s="103" t="s">
        <v>91</v>
      </c>
      <c r="B923" s="151">
        <v>2.2999999999999998</v>
      </c>
      <c r="C923" s="151">
        <v>3.5</v>
      </c>
      <c r="D923" s="151">
        <v>6.6</v>
      </c>
      <c r="E923" s="151">
        <v>28.504000000000001</v>
      </c>
      <c r="F923" s="151">
        <v>4.0720000000000001</v>
      </c>
      <c r="G923" s="151">
        <v>4.0720000000000001</v>
      </c>
      <c r="H923" s="151">
        <v>4.0940000000000003</v>
      </c>
      <c r="I923" s="151">
        <v>6.5049999999999999</v>
      </c>
      <c r="J923" s="151">
        <v>5.24</v>
      </c>
      <c r="K923" s="151">
        <v>5.8179999999999996</v>
      </c>
      <c r="L923" s="151">
        <v>6.5449999999999999</v>
      </c>
      <c r="M923" s="151">
        <v>7.9740000000000002</v>
      </c>
    </row>
    <row r="924" spans="1:13" ht="15" customHeight="1">
      <c r="A924" s="102" t="s">
        <v>85</v>
      </c>
      <c r="B924" s="82">
        <v>1</v>
      </c>
      <c r="C924" s="82">
        <v>1</v>
      </c>
      <c r="D924" s="82">
        <v>1</v>
      </c>
      <c r="E924" s="82">
        <v>1</v>
      </c>
      <c r="F924" s="82">
        <v>1</v>
      </c>
      <c r="G924" s="82">
        <v>1</v>
      </c>
      <c r="H924" s="82">
        <v>1</v>
      </c>
      <c r="I924" s="82">
        <v>1</v>
      </c>
      <c r="J924" s="82">
        <v>1</v>
      </c>
      <c r="K924" s="82">
        <v>1</v>
      </c>
      <c r="L924" s="82">
        <v>1</v>
      </c>
      <c r="M924" s="82">
        <v>1</v>
      </c>
    </row>
    <row r="927" spans="1:13" ht="15" customHeight="1">
      <c r="A927" s="106" t="s">
        <v>74</v>
      </c>
      <c r="B927" s="27"/>
      <c r="C927" s="27"/>
      <c r="D927" s="27"/>
      <c r="E927" s="27"/>
      <c r="F927" s="27"/>
      <c r="G927" s="27"/>
      <c r="H927" s="27"/>
      <c r="I927" s="27"/>
      <c r="J927" s="27"/>
      <c r="K927" s="27"/>
      <c r="L927" s="27"/>
      <c r="M927" s="27"/>
    </row>
    <row r="928" spans="1:13" ht="15" customHeight="1">
      <c r="A928" s="104" t="s">
        <v>71</v>
      </c>
      <c r="B928" s="55">
        <v>0</v>
      </c>
      <c r="C928" s="55">
        <v>0</v>
      </c>
      <c r="D928" s="55">
        <v>0</v>
      </c>
      <c r="E928" s="55">
        <v>0</v>
      </c>
      <c r="F928" s="55">
        <v>0</v>
      </c>
      <c r="G928" s="55">
        <v>0</v>
      </c>
      <c r="H928" s="55">
        <v>0</v>
      </c>
      <c r="I928" s="55">
        <v>0</v>
      </c>
      <c r="J928" s="55">
        <v>0</v>
      </c>
      <c r="K928" s="55">
        <v>0</v>
      </c>
      <c r="L928" s="55">
        <v>0</v>
      </c>
      <c r="M928" s="55">
        <v>0</v>
      </c>
    </row>
    <row r="929" spans="1:13" ht="15" customHeight="1">
      <c r="A929" s="104" t="s">
        <v>72</v>
      </c>
      <c r="B929" s="55">
        <v>0</v>
      </c>
      <c r="C929" s="55">
        <v>0</v>
      </c>
      <c r="D929" s="55">
        <v>0</v>
      </c>
      <c r="E929" s="55">
        <v>0</v>
      </c>
      <c r="F929" s="55">
        <v>0</v>
      </c>
      <c r="G929" s="55">
        <v>0</v>
      </c>
      <c r="H929" s="55">
        <v>0</v>
      </c>
      <c r="I929" s="55">
        <v>0</v>
      </c>
      <c r="J929" s="55">
        <v>0</v>
      </c>
      <c r="K929" s="55">
        <v>0</v>
      </c>
      <c r="L929" s="55">
        <v>0</v>
      </c>
      <c r="M929" s="55">
        <v>0</v>
      </c>
    </row>
    <row r="930" spans="1:13" ht="15" customHeight="1">
      <c r="A930" s="104" t="s">
        <v>73</v>
      </c>
      <c r="B930" s="51">
        <v>0</v>
      </c>
      <c r="C930" s="51">
        <v>0</v>
      </c>
      <c r="D930" s="51">
        <v>0</v>
      </c>
      <c r="E930" s="51">
        <v>0</v>
      </c>
      <c r="F930" s="51">
        <v>0</v>
      </c>
      <c r="G930" s="51">
        <v>0</v>
      </c>
      <c r="H930" s="51">
        <v>0</v>
      </c>
      <c r="I930" s="51">
        <v>0</v>
      </c>
      <c r="J930" s="51">
        <v>0</v>
      </c>
      <c r="K930" s="51">
        <v>0</v>
      </c>
      <c r="L930" s="51">
        <v>0</v>
      </c>
      <c r="M930" s="51">
        <v>0</v>
      </c>
    </row>
    <row r="931" spans="1:13" ht="15" customHeight="1">
      <c r="A931" s="103" t="s">
        <v>69</v>
      </c>
      <c r="B931" s="55">
        <v>0</v>
      </c>
      <c r="C931" s="55">
        <v>0</v>
      </c>
      <c r="D931" s="55">
        <v>0</v>
      </c>
      <c r="E931" s="55">
        <v>0</v>
      </c>
      <c r="F931" s="55">
        <v>0</v>
      </c>
      <c r="G931" s="55">
        <v>0</v>
      </c>
      <c r="H931" s="55">
        <v>0</v>
      </c>
      <c r="I931" s="55">
        <v>0</v>
      </c>
      <c r="J931" s="55">
        <v>0</v>
      </c>
      <c r="K931" s="55">
        <v>0</v>
      </c>
      <c r="L931" s="55">
        <v>0</v>
      </c>
      <c r="M931" s="55">
        <v>0</v>
      </c>
    </row>
    <row r="934" spans="1:13" ht="15" customHeight="1">
      <c r="A934" s="106" t="s">
        <v>92</v>
      </c>
      <c r="B934" s="27"/>
      <c r="C934" s="27"/>
      <c r="D934" s="27"/>
      <c r="E934" s="27"/>
      <c r="F934" s="27"/>
      <c r="G934" s="27"/>
      <c r="H934" s="27"/>
      <c r="I934" s="27"/>
      <c r="J934" s="27"/>
      <c r="K934" s="27"/>
      <c r="L934" s="27"/>
      <c r="M934" s="27"/>
    </row>
    <row r="935" spans="1:13" ht="15" customHeight="1">
      <c r="A935" s="3" t="s">
        <v>23</v>
      </c>
      <c r="B935" s="18" t="s">
        <v>6</v>
      </c>
      <c r="C935" s="18" t="s">
        <v>6</v>
      </c>
      <c r="D935" s="18" t="s">
        <v>6</v>
      </c>
      <c r="E935" s="18" t="s">
        <v>6</v>
      </c>
      <c r="F935" s="18" t="s">
        <v>6</v>
      </c>
      <c r="G935" s="18" t="s">
        <v>6</v>
      </c>
      <c r="H935" s="18" t="s">
        <v>6</v>
      </c>
      <c r="I935" s="18" t="s">
        <v>6</v>
      </c>
      <c r="J935" s="18" t="s">
        <v>6</v>
      </c>
      <c r="K935" s="18" t="s">
        <v>6</v>
      </c>
      <c r="L935" s="18" t="s">
        <v>6</v>
      </c>
      <c r="M935" s="18" t="s">
        <v>6</v>
      </c>
    </row>
    <row r="936" spans="1:13" ht="15" customHeight="1">
      <c r="A936" s="103" t="s">
        <v>93</v>
      </c>
      <c r="B936" s="55">
        <v>717</v>
      </c>
      <c r="C936" s="55">
        <v>717</v>
      </c>
      <c r="D936" s="55">
        <v>717</v>
      </c>
      <c r="E936" s="55">
        <v>645</v>
      </c>
      <c r="F936" s="55">
        <v>645</v>
      </c>
      <c r="G936" s="55">
        <v>645</v>
      </c>
      <c r="H936" s="55">
        <v>645</v>
      </c>
      <c r="I936" s="55">
        <v>488</v>
      </c>
      <c r="J936" s="55">
        <v>488</v>
      </c>
      <c r="K936" s="55">
        <v>488</v>
      </c>
      <c r="L936" s="55">
        <v>488</v>
      </c>
      <c r="M936" s="55">
        <v>338</v>
      </c>
    </row>
    <row r="937" spans="1:13" ht="15" customHeight="1">
      <c r="A937" s="103" t="s">
        <v>94</v>
      </c>
      <c r="B937" s="55">
        <v>662</v>
      </c>
      <c r="C937" s="55">
        <v>662</v>
      </c>
      <c r="D937" s="55">
        <v>662</v>
      </c>
      <c r="E937" s="55">
        <v>610</v>
      </c>
      <c r="F937" s="55">
        <v>610</v>
      </c>
      <c r="G937" s="55">
        <v>610</v>
      </c>
      <c r="H937" s="55">
        <v>610</v>
      </c>
      <c r="I937" s="55">
        <v>516</v>
      </c>
      <c r="J937" s="55">
        <v>516</v>
      </c>
      <c r="K937" s="55">
        <v>516</v>
      </c>
      <c r="L937" s="55">
        <v>516</v>
      </c>
      <c r="M937" s="55">
        <v>338</v>
      </c>
    </row>
    <row r="938" spans="1:13" ht="15" customHeight="1">
      <c r="A938" s="103" t="s">
        <v>95</v>
      </c>
      <c r="B938" s="55">
        <v>676</v>
      </c>
      <c r="C938" s="55">
        <v>676</v>
      </c>
      <c r="D938" s="55">
        <v>676</v>
      </c>
      <c r="E938" s="55">
        <v>613</v>
      </c>
      <c r="F938" s="55">
        <v>613</v>
      </c>
      <c r="G938" s="55">
        <v>613</v>
      </c>
      <c r="H938" s="55">
        <v>613</v>
      </c>
      <c r="I938" s="55">
        <v>556</v>
      </c>
      <c r="J938" s="55">
        <v>556</v>
      </c>
      <c r="K938" s="55">
        <v>556</v>
      </c>
      <c r="L938" s="55">
        <v>556</v>
      </c>
      <c r="M938" s="55">
        <v>365</v>
      </c>
    </row>
    <row r="939" spans="1:13" ht="15" customHeight="1">
      <c r="A939" s="103" t="s">
        <v>96</v>
      </c>
      <c r="B939" s="55">
        <v>645</v>
      </c>
      <c r="C939" s="55">
        <v>645</v>
      </c>
      <c r="D939" s="55">
        <v>645</v>
      </c>
      <c r="E939" s="55">
        <v>587</v>
      </c>
      <c r="F939" s="55">
        <v>587</v>
      </c>
      <c r="G939" s="55">
        <v>587</v>
      </c>
      <c r="H939" s="55">
        <v>587</v>
      </c>
      <c r="I939" s="55">
        <v>542</v>
      </c>
      <c r="J939" s="55">
        <v>542</v>
      </c>
      <c r="K939" s="55">
        <v>542</v>
      </c>
      <c r="L939" s="55">
        <v>542</v>
      </c>
      <c r="M939" s="55">
        <v>362</v>
      </c>
    </row>
    <row r="940" spans="1:13" ht="15" customHeight="1">
      <c r="A940" s="103" t="s">
        <v>97</v>
      </c>
      <c r="B940" s="55">
        <v>593</v>
      </c>
      <c r="C940" s="55">
        <v>593</v>
      </c>
      <c r="D940" s="55">
        <v>593</v>
      </c>
      <c r="E940" s="55">
        <v>551</v>
      </c>
      <c r="F940" s="55">
        <v>551</v>
      </c>
      <c r="G940" s="55">
        <v>551</v>
      </c>
      <c r="H940" s="55">
        <v>551</v>
      </c>
      <c r="I940" s="55">
        <v>513</v>
      </c>
      <c r="J940" s="55">
        <v>513</v>
      </c>
      <c r="K940" s="55">
        <v>513</v>
      </c>
      <c r="L940" s="55">
        <v>513</v>
      </c>
      <c r="M940" s="55">
        <v>345</v>
      </c>
    </row>
    <row r="941" spans="1:13" ht="15" customHeight="1">
      <c r="A941" s="103" t="s">
        <v>98</v>
      </c>
      <c r="B941" s="55">
        <v>534</v>
      </c>
      <c r="C941" s="55">
        <v>534</v>
      </c>
      <c r="D941" s="55">
        <v>534</v>
      </c>
      <c r="E941" s="55">
        <v>505</v>
      </c>
      <c r="F941" s="55">
        <v>505</v>
      </c>
      <c r="G941" s="55">
        <v>505</v>
      </c>
      <c r="H941" s="55">
        <v>505</v>
      </c>
      <c r="I941" s="55">
        <v>486</v>
      </c>
      <c r="J941" s="55">
        <v>486</v>
      </c>
      <c r="K941" s="55">
        <v>486</v>
      </c>
      <c r="L941" s="55">
        <v>486</v>
      </c>
      <c r="M941" s="55">
        <v>320</v>
      </c>
    </row>
    <row r="942" spans="1:13" ht="15" customHeight="1">
      <c r="A942" s="103" t="s">
        <v>99</v>
      </c>
      <c r="B942" s="55">
        <v>1877</v>
      </c>
      <c r="C942" s="55">
        <v>1877</v>
      </c>
      <c r="D942" s="55">
        <v>1877</v>
      </c>
      <c r="E942" s="55">
        <v>1855</v>
      </c>
      <c r="F942" s="55">
        <v>1855</v>
      </c>
      <c r="G942" s="55">
        <v>1855</v>
      </c>
      <c r="H942" s="55">
        <v>1855</v>
      </c>
      <c r="I942" s="55">
        <v>1801</v>
      </c>
      <c r="J942" s="55">
        <v>1801</v>
      </c>
      <c r="K942" s="55">
        <v>1801</v>
      </c>
      <c r="L942" s="55">
        <v>1801</v>
      </c>
      <c r="M942" s="55">
        <v>1302</v>
      </c>
    </row>
    <row r="945" spans="1:13" ht="15" customHeight="1">
      <c r="A945" s="106" t="s">
        <v>483</v>
      </c>
      <c r="B945" s="27"/>
      <c r="C945" s="27"/>
      <c r="D945" s="27"/>
      <c r="E945" s="27"/>
      <c r="F945" s="27"/>
      <c r="G945" s="27"/>
      <c r="H945" s="27"/>
      <c r="I945" s="27"/>
      <c r="J945" s="27"/>
      <c r="K945" s="27"/>
      <c r="L945" s="27"/>
      <c r="M945" s="27"/>
    </row>
    <row r="946" spans="1:13" ht="15" customHeight="1">
      <c r="A946" s="103" t="s">
        <v>31</v>
      </c>
      <c r="B946" s="51">
        <v>3</v>
      </c>
      <c r="C946" s="51">
        <v>3</v>
      </c>
      <c r="D946" s="51">
        <v>3</v>
      </c>
      <c r="E946" s="51">
        <v>5</v>
      </c>
      <c r="F946" s="51">
        <v>3</v>
      </c>
      <c r="G946" s="51">
        <v>3</v>
      </c>
      <c r="H946" s="51">
        <v>3</v>
      </c>
      <c r="I946" s="51">
        <v>3</v>
      </c>
      <c r="J946" s="51">
        <v>3</v>
      </c>
      <c r="K946" s="51">
        <v>0</v>
      </c>
      <c r="L946" s="51">
        <v>0</v>
      </c>
      <c r="M946" s="51">
        <v>0</v>
      </c>
    </row>
    <row r="947" spans="1:13" ht="15" customHeight="1">
      <c r="A947" s="103" t="s">
        <v>21</v>
      </c>
      <c r="B947" s="86">
        <v>509</v>
      </c>
      <c r="C947" s="86">
        <v>431</v>
      </c>
      <c r="D947" s="86">
        <v>384</v>
      </c>
      <c r="E947" s="86">
        <v>352</v>
      </c>
      <c r="F947" s="86">
        <v>305</v>
      </c>
      <c r="G947" s="86">
        <v>220</v>
      </c>
      <c r="H947" s="86">
        <v>136</v>
      </c>
      <c r="I947" s="86">
        <v>56</v>
      </c>
      <c r="J947" s="86">
        <v>1450</v>
      </c>
      <c r="K947" s="86">
        <v>0</v>
      </c>
      <c r="L947" s="86">
        <v>0</v>
      </c>
      <c r="M947" s="86">
        <v>0</v>
      </c>
    </row>
    <row r="948" spans="1:13" ht="15" customHeight="1">
      <c r="A948" s="103" t="s">
        <v>69</v>
      </c>
      <c r="B948" s="86">
        <v>43871</v>
      </c>
      <c r="C948" s="86">
        <v>36403</v>
      </c>
      <c r="D948" s="86">
        <v>35295</v>
      </c>
      <c r="E948" s="86">
        <v>16960</v>
      </c>
      <c r="F948" s="86">
        <v>16962</v>
      </c>
      <c r="G948" s="86">
        <v>16961</v>
      </c>
      <c r="H948" s="86">
        <v>16960</v>
      </c>
      <c r="I948" s="86">
        <v>16958</v>
      </c>
      <c r="J948" s="86">
        <v>0</v>
      </c>
      <c r="K948" s="86">
        <v>0</v>
      </c>
      <c r="L948" s="86">
        <v>0</v>
      </c>
      <c r="M948" s="86">
        <v>0</v>
      </c>
    </row>
    <row r="951" spans="1:13" ht="15" customHeight="1">
      <c r="A951" s="106" t="s">
        <v>77</v>
      </c>
      <c r="B951" s="27"/>
      <c r="C951" s="27"/>
      <c r="D951" s="27"/>
      <c r="E951" s="27"/>
      <c r="F951" s="27"/>
      <c r="G951" s="27"/>
      <c r="H951" s="27"/>
      <c r="I951" s="27"/>
      <c r="J951" s="27"/>
      <c r="K951" s="27"/>
      <c r="L951" s="27"/>
      <c r="M951" s="27"/>
    </row>
    <row r="952" spans="1:13" ht="15" customHeight="1">
      <c r="A952" s="3" t="s">
        <v>385</v>
      </c>
      <c r="B952" s="18" t="s">
        <v>389</v>
      </c>
      <c r="C952" s="18" t="s">
        <v>389</v>
      </c>
      <c r="D952" s="18" t="s">
        <v>389</v>
      </c>
      <c r="E952" s="18" t="s">
        <v>389</v>
      </c>
      <c r="F952" s="18" t="s">
        <v>389</v>
      </c>
      <c r="G952" s="18" t="s">
        <v>389</v>
      </c>
      <c r="H952" s="18" t="s">
        <v>389</v>
      </c>
      <c r="I952" s="18" t="s">
        <v>389</v>
      </c>
      <c r="J952" s="18" t="s">
        <v>389</v>
      </c>
      <c r="K952" s="18" t="s">
        <v>389</v>
      </c>
      <c r="L952" s="18" t="s">
        <v>389</v>
      </c>
      <c r="M952" s="18" t="s">
        <v>389</v>
      </c>
    </row>
    <row r="953" spans="1:13" ht="15" customHeight="1">
      <c r="A953" s="3" t="s">
        <v>388</v>
      </c>
      <c r="B953" s="82">
        <v>0</v>
      </c>
      <c r="C953" s="82">
        <v>0</v>
      </c>
      <c r="D953" s="82">
        <v>0</v>
      </c>
      <c r="E953" s="82">
        <v>0</v>
      </c>
      <c r="F953" s="82">
        <v>0</v>
      </c>
      <c r="G953" s="82">
        <v>0</v>
      </c>
      <c r="H953" s="82">
        <v>0</v>
      </c>
      <c r="I953" s="82">
        <v>0</v>
      </c>
      <c r="J953" s="82">
        <v>0</v>
      </c>
      <c r="K953" s="82">
        <v>0</v>
      </c>
      <c r="L953" s="82">
        <v>0</v>
      </c>
      <c r="M953" s="82">
        <v>0</v>
      </c>
    </row>
    <row r="954" spans="1:13" ht="15" customHeight="1">
      <c r="A954" s="3" t="s">
        <v>425</v>
      </c>
      <c r="B954" s="86">
        <v>0</v>
      </c>
      <c r="C954" s="82">
        <v>0</v>
      </c>
      <c r="D954" s="86">
        <v>0</v>
      </c>
      <c r="E954" s="86">
        <v>0</v>
      </c>
      <c r="F954" s="86">
        <v>0</v>
      </c>
      <c r="G954" s="86">
        <v>0</v>
      </c>
      <c r="H954" s="86">
        <v>0</v>
      </c>
      <c r="I954" s="86">
        <v>0</v>
      </c>
      <c r="J954" s="86">
        <v>0</v>
      </c>
      <c r="K954" s="86">
        <v>0</v>
      </c>
      <c r="L954" s="86">
        <v>0</v>
      </c>
      <c r="M954" s="86">
        <v>0</v>
      </c>
    </row>
    <row r="955" spans="1:13" ht="15" customHeight="1">
      <c r="A955" s="102" t="s">
        <v>422</v>
      </c>
      <c r="B955" s="91"/>
      <c r="C955" s="91"/>
      <c r="D955" s="91"/>
      <c r="E955" s="91"/>
      <c r="F955" s="91"/>
      <c r="G955" s="91"/>
      <c r="H955" s="91"/>
      <c r="I955" s="91"/>
      <c r="J955" s="91"/>
      <c r="K955" s="91"/>
      <c r="L955" s="91"/>
      <c r="M955" s="91"/>
    </row>
    <row r="956" spans="1:13" ht="15" customHeight="1">
      <c r="A956" s="3" t="s">
        <v>384</v>
      </c>
      <c r="B956" s="90">
        <v>0</v>
      </c>
      <c r="C956" s="90">
        <v>0</v>
      </c>
      <c r="D956" s="90">
        <v>0</v>
      </c>
      <c r="E956" s="90">
        <v>0</v>
      </c>
      <c r="F956" s="90">
        <v>0</v>
      </c>
      <c r="G956" s="90">
        <v>0</v>
      </c>
      <c r="H956" s="90">
        <v>0</v>
      </c>
      <c r="I956" s="90">
        <v>0</v>
      </c>
      <c r="J956" s="90">
        <v>0</v>
      </c>
      <c r="K956" s="90">
        <v>0</v>
      </c>
      <c r="L956" s="90">
        <v>0</v>
      </c>
      <c r="M956" s="90">
        <v>0</v>
      </c>
    </row>
    <row r="957" spans="1:13" ht="15" customHeight="1">
      <c r="A957" s="103" t="s">
        <v>426</v>
      </c>
      <c r="B957" s="89">
        <v>0</v>
      </c>
      <c r="C957" s="89">
        <v>0</v>
      </c>
      <c r="D957" s="89">
        <v>0</v>
      </c>
      <c r="E957" s="89">
        <v>0</v>
      </c>
      <c r="F957" s="89">
        <v>0</v>
      </c>
      <c r="G957" s="89">
        <v>0</v>
      </c>
      <c r="H957" s="89">
        <v>0</v>
      </c>
      <c r="I957" s="89">
        <v>0</v>
      </c>
      <c r="J957" s="89">
        <v>0</v>
      </c>
      <c r="K957" s="89">
        <v>0</v>
      </c>
      <c r="L957" s="89">
        <v>0</v>
      </c>
      <c r="M957" s="89">
        <v>0</v>
      </c>
    </row>
    <row r="958" spans="1:13" ht="15" customHeight="1">
      <c r="A958" s="103" t="s">
        <v>427</v>
      </c>
      <c r="B958" s="91">
        <v>0</v>
      </c>
      <c r="C958" s="91">
        <v>0</v>
      </c>
      <c r="D958" s="91">
        <v>0</v>
      </c>
      <c r="E958" s="91">
        <v>0</v>
      </c>
      <c r="F958" s="91">
        <v>0</v>
      </c>
      <c r="G958" s="91">
        <v>0</v>
      </c>
      <c r="H958" s="91">
        <v>0</v>
      </c>
      <c r="I958" s="91">
        <v>0</v>
      </c>
      <c r="J958" s="91">
        <v>0</v>
      </c>
      <c r="K958" s="91">
        <v>0</v>
      </c>
      <c r="L958" s="91">
        <v>0</v>
      </c>
      <c r="M958" s="91">
        <v>0</v>
      </c>
    </row>
    <row r="959" spans="1:13" ht="15" customHeight="1">
      <c r="A959" s="103" t="s">
        <v>69</v>
      </c>
      <c r="B959" s="55">
        <v>0</v>
      </c>
      <c r="C959" s="55">
        <v>0</v>
      </c>
      <c r="D959" s="55">
        <v>0</v>
      </c>
      <c r="E959" s="55">
        <v>0</v>
      </c>
      <c r="F959" s="55">
        <v>0</v>
      </c>
      <c r="G959" s="55">
        <v>0</v>
      </c>
      <c r="H959" s="55">
        <v>0</v>
      </c>
      <c r="I959" s="55">
        <v>0</v>
      </c>
      <c r="J959" s="55">
        <v>0</v>
      </c>
      <c r="K959" s="55">
        <v>0</v>
      </c>
      <c r="L959" s="55">
        <v>0</v>
      </c>
      <c r="M959" s="55">
        <v>0</v>
      </c>
    </row>
    <row r="962" spans="1:13" ht="15" customHeight="1">
      <c r="A962" s="106" t="s">
        <v>441</v>
      </c>
      <c r="B962" s="27"/>
      <c r="C962" s="27"/>
      <c r="D962" s="27"/>
      <c r="E962" s="27"/>
      <c r="F962" s="27"/>
      <c r="G962" s="27"/>
      <c r="H962" s="27"/>
      <c r="I962" s="27"/>
      <c r="J962" s="27"/>
      <c r="K962" s="27"/>
      <c r="L962" s="27"/>
      <c r="M962" s="27"/>
    </row>
    <row r="963" spans="1:13" ht="15" customHeight="1">
      <c r="A963" s="103" t="s">
        <v>440</v>
      </c>
      <c r="B963" s="87">
        <v>1</v>
      </c>
      <c r="C963" s="87">
        <v>1</v>
      </c>
      <c r="D963" s="87">
        <v>1</v>
      </c>
      <c r="E963" s="87">
        <v>1</v>
      </c>
      <c r="F963" s="87">
        <v>1</v>
      </c>
      <c r="G963" s="87">
        <v>1</v>
      </c>
      <c r="H963" s="87">
        <v>1</v>
      </c>
      <c r="I963" s="87">
        <v>1</v>
      </c>
      <c r="J963" s="87">
        <v>1</v>
      </c>
      <c r="K963" s="87">
        <v>1</v>
      </c>
      <c r="L963" s="87">
        <v>1</v>
      </c>
      <c r="M963" s="87">
        <v>1</v>
      </c>
    </row>
    <row r="964" spans="1:13" ht="15" customHeight="1">
      <c r="A964" s="3" t="s">
        <v>69</v>
      </c>
      <c r="B964" s="12">
        <v>0</v>
      </c>
      <c r="C964" s="12">
        <v>0</v>
      </c>
      <c r="D964" s="12">
        <v>0</v>
      </c>
      <c r="E964" s="12">
        <v>0</v>
      </c>
      <c r="F964" s="12">
        <v>0</v>
      </c>
      <c r="G964" s="12">
        <v>0</v>
      </c>
      <c r="H964" s="12">
        <v>0</v>
      </c>
      <c r="I964" s="12">
        <v>0</v>
      </c>
      <c r="J964" s="12">
        <v>0</v>
      </c>
      <c r="K964" s="12">
        <v>0</v>
      </c>
      <c r="L964" s="12">
        <v>0</v>
      </c>
      <c r="M964" s="12">
        <v>0</v>
      </c>
    </row>
    <row r="967" spans="1:13" ht="15" customHeight="1">
      <c r="A967" s="106" t="s">
        <v>499</v>
      </c>
      <c r="B967" s="27"/>
      <c r="C967" s="27"/>
      <c r="D967" s="27"/>
      <c r="E967" s="27"/>
      <c r="F967" s="27"/>
      <c r="G967" s="27"/>
      <c r="H967" s="27"/>
      <c r="I967" s="27"/>
      <c r="J967" s="27"/>
      <c r="K967" s="27"/>
      <c r="L967" s="27"/>
      <c r="M967" s="27"/>
    </row>
    <row r="968" spans="1:13" ht="15" customHeight="1">
      <c r="A968" s="3" t="s">
        <v>22</v>
      </c>
      <c r="B968" s="18" t="s">
        <v>6</v>
      </c>
      <c r="C968" s="18" t="s">
        <v>6</v>
      </c>
      <c r="D968" s="18" t="s">
        <v>6</v>
      </c>
      <c r="E968" s="18" t="s">
        <v>6</v>
      </c>
      <c r="F968" s="18" t="s">
        <v>6</v>
      </c>
      <c r="G968" s="18" t="s">
        <v>6</v>
      </c>
      <c r="H968" s="18" t="s">
        <v>6</v>
      </c>
      <c r="I968" s="18" t="s">
        <v>6</v>
      </c>
      <c r="J968" s="18" t="s">
        <v>6</v>
      </c>
      <c r="K968" s="18" t="s">
        <v>6</v>
      </c>
      <c r="L968" s="18" t="s">
        <v>6</v>
      </c>
      <c r="M968" s="18" t="s">
        <v>6</v>
      </c>
    </row>
    <row r="969" spans="1:13" ht="15" customHeight="1">
      <c r="A969" s="103" t="s">
        <v>345</v>
      </c>
      <c r="B969" s="86">
        <v>7103</v>
      </c>
      <c r="C969" s="86">
        <v>6606</v>
      </c>
      <c r="D969" s="86">
        <v>6041</v>
      </c>
      <c r="E969" s="86">
        <v>5523</v>
      </c>
      <c r="F969" s="86">
        <v>5098</v>
      </c>
      <c r="G969" s="86">
        <v>4795</v>
      </c>
      <c r="H969" s="86">
        <v>4795</v>
      </c>
      <c r="I969" s="86">
        <v>4213</v>
      </c>
      <c r="J969" s="86">
        <v>2851</v>
      </c>
      <c r="K969" s="86">
        <v>2170.5</v>
      </c>
      <c r="L969" s="86">
        <v>1490</v>
      </c>
      <c r="M969" s="86">
        <v>1490</v>
      </c>
    </row>
    <row r="970" spans="1:13" ht="15" customHeight="1">
      <c r="A970" s="103" t="s">
        <v>346</v>
      </c>
      <c r="B970" s="86">
        <v>5098</v>
      </c>
      <c r="C970" s="86">
        <v>6041</v>
      </c>
      <c r="D970" s="86">
        <v>4475</v>
      </c>
      <c r="E970" s="86">
        <v>4475</v>
      </c>
      <c r="F970" s="86">
        <v>3381</v>
      </c>
      <c r="G970" s="86">
        <v>3381</v>
      </c>
      <c r="H970" s="86">
        <v>3381</v>
      </c>
      <c r="I970" s="86">
        <v>3381</v>
      </c>
      <c r="J970" s="86">
        <v>1559</v>
      </c>
      <c r="K970" s="86">
        <v>1559</v>
      </c>
      <c r="L970" s="86">
        <v>1559</v>
      </c>
      <c r="M970" s="86">
        <v>1559</v>
      </c>
    </row>
    <row r="971" spans="1:13" ht="15" customHeight="1">
      <c r="A971" s="103" t="s">
        <v>347</v>
      </c>
      <c r="B971" s="86">
        <v>3911</v>
      </c>
      <c r="C971" s="86">
        <v>4475</v>
      </c>
      <c r="D971" s="86">
        <v>3381</v>
      </c>
      <c r="E971" s="86">
        <v>3381</v>
      </c>
      <c r="F971" s="86">
        <v>2429</v>
      </c>
      <c r="G971" s="86">
        <v>2429</v>
      </c>
      <c r="H971" s="86">
        <v>2429</v>
      </c>
      <c r="I971" s="86">
        <v>2429</v>
      </c>
      <c r="J971" s="86">
        <v>1351</v>
      </c>
      <c r="K971" s="86">
        <v>1351</v>
      </c>
      <c r="L971" s="86">
        <v>1351</v>
      </c>
      <c r="M971" s="86">
        <v>1351</v>
      </c>
    </row>
    <row r="972" spans="1:13" ht="15" customHeight="1">
      <c r="A972" s="103" t="s">
        <v>348</v>
      </c>
      <c r="B972" s="86">
        <v>2872</v>
      </c>
      <c r="C972" s="86">
        <v>3381</v>
      </c>
      <c r="D972" s="86">
        <v>2429</v>
      </c>
      <c r="E972" s="86">
        <v>2429</v>
      </c>
      <c r="F972" s="86">
        <v>1782</v>
      </c>
      <c r="G972" s="86">
        <v>1782</v>
      </c>
      <c r="H972" s="86">
        <v>1782</v>
      </c>
      <c r="I972" s="86">
        <v>0</v>
      </c>
      <c r="J972" s="86">
        <v>965</v>
      </c>
      <c r="K972" s="86">
        <v>965</v>
      </c>
      <c r="L972" s="86">
        <v>965</v>
      </c>
      <c r="M972" s="86">
        <v>965</v>
      </c>
    </row>
    <row r="973" spans="1:13" ht="15" customHeight="1">
      <c r="A973" s="103" t="s">
        <v>349</v>
      </c>
      <c r="B973" s="86">
        <v>2114</v>
      </c>
      <c r="C973" s="86">
        <v>2114</v>
      </c>
      <c r="D973" s="86">
        <v>1782</v>
      </c>
      <c r="E973" s="86">
        <v>1782</v>
      </c>
      <c r="F973" s="86">
        <v>1523</v>
      </c>
      <c r="G973" s="86">
        <v>1523</v>
      </c>
      <c r="H973" s="86">
        <v>1333</v>
      </c>
      <c r="I973" s="86">
        <v>1333</v>
      </c>
      <c r="J973" s="86">
        <v>1224</v>
      </c>
      <c r="K973" s="86">
        <v>1224</v>
      </c>
      <c r="L973" s="86">
        <v>1109</v>
      </c>
      <c r="M973" s="86">
        <v>1109</v>
      </c>
    </row>
    <row r="974" spans="1:13" ht="15" customHeight="1">
      <c r="A974" s="103" t="s">
        <v>350</v>
      </c>
      <c r="B974" s="86">
        <v>1523</v>
      </c>
      <c r="C974" s="86">
        <v>1523</v>
      </c>
      <c r="D974" s="86">
        <v>1333</v>
      </c>
      <c r="E974" s="86">
        <v>1333</v>
      </c>
      <c r="F974" s="86">
        <v>1224</v>
      </c>
      <c r="G974" s="86">
        <v>1224</v>
      </c>
      <c r="H974" s="86">
        <v>1109</v>
      </c>
      <c r="I974" s="86">
        <v>1109</v>
      </c>
      <c r="J974" s="86">
        <v>934</v>
      </c>
      <c r="K974" s="86">
        <v>934</v>
      </c>
      <c r="L974" s="86">
        <v>782</v>
      </c>
      <c r="M974" s="86">
        <v>782</v>
      </c>
    </row>
    <row r="975" spans="1:13" ht="15" customHeight="1">
      <c r="A975" s="103" t="s">
        <v>351</v>
      </c>
      <c r="B975" s="86">
        <v>1224</v>
      </c>
      <c r="C975" s="86">
        <v>1224</v>
      </c>
      <c r="D975" s="86">
        <v>1109</v>
      </c>
      <c r="E975" s="86">
        <v>1109</v>
      </c>
      <c r="F975" s="86">
        <v>934</v>
      </c>
      <c r="G975" s="86">
        <v>934</v>
      </c>
      <c r="H975" s="86">
        <v>782</v>
      </c>
      <c r="I975" s="86">
        <v>782</v>
      </c>
      <c r="J975" s="86">
        <v>721</v>
      </c>
      <c r="K975" s="86">
        <v>721</v>
      </c>
      <c r="L975" s="86">
        <v>712</v>
      </c>
      <c r="M975" s="86">
        <v>712</v>
      </c>
    </row>
    <row r="976" spans="1:13" ht="15" customHeight="1">
      <c r="A976" s="103" t="s">
        <v>352</v>
      </c>
      <c r="B976" s="86">
        <v>934</v>
      </c>
      <c r="C976" s="86">
        <v>934</v>
      </c>
      <c r="D976" s="86">
        <v>782</v>
      </c>
      <c r="E976" s="86">
        <v>782</v>
      </c>
      <c r="F976" s="86">
        <v>721</v>
      </c>
      <c r="G976" s="86">
        <v>721</v>
      </c>
      <c r="H976" s="86">
        <v>712</v>
      </c>
      <c r="I976" s="86">
        <v>712</v>
      </c>
      <c r="J976" s="86">
        <v>650</v>
      </c>
      <c r="K976" s="86">
        <v>650</v>
      </c>
      <c r="L976" s="86">
        <v>534</v>
      </c>
      <c r="M976" s="86">
        <v>534</v>
      </c>
    </row>
    <row r="977" spans="1:13" ht="15" customHeight="1">
      <c r="A977" s="103" t="s">
        <v>353</v>
      </c>
      <c r="B977" s="86">
        <v>721</v>
      </c>
      <c r="C977" s="86">
        <v>721</v>
      </c>
      <c r="D977" s="86">
        <v>712</v>
      </c>
      <c r="E977" s="86">
        <v>712</v>
      </c>
      <c r="F977" s="86">
        <v>650</v>
      </c>
      <c r="G977" s="86">
        <v>650</v>
      </c>
      <c r="H977" s="86">
        <v>534</v>
      </c>
      <c r="I977" s="86">
        <v>534</v>
      </c>
      <c r="J977" s="86">
        <v>489</v>
      </c>
      <c r="K977" s="86">
        <v>489</v>
      </c>
      <c r="L977" s="86">
        <v>489</v>
      </c>
      <c r="M977" s="86">
        <v>489</v>
      </c>
    </row>
    <row r="978" spans="1:13" ht="15" customHeight="1">
      <c r="A978" s="103" t="s">
        <v>354</v>
      </c>
      <c r="B978" s="86">
        <v>650</v>
      </c>
      <c r="C978" s="86">
        <v>650</v>
      </c>
      <c r="D978" s="86">
        <v>534</v>
      </c>
      <c r="E978" s="86">
        <v>534</v>
      </c>
      <c r="F978" s="86">
        <v>489</v>
      </c>
      <c r="G978" s="86">
        <v>489</v>
      </c>
      <c r="H978" s="86">
        <v>489</v>
      </c>
      <c r="I978" s="86">
        <v>489</v>
      </c>
      <c r="J978" s="86">
        <v>453</v>
      </c>
      <c r="K978" s="86">
        <v>453</v>
      </c>
      <c r="L978" s="86">
        <v>471</v>
      </c>
      <c r="M978" s="86">
        <v>471</v>
      </c>
    </row>
    <row r="979" spans="1:13" ht="15" customHeight="1">
      <c r="A979" s="103" t="s">
        <v>355</v>
      </c>
      <c r="B979" s="86">
        <v>489</v>
      </c>
      <c r="C979" s="86">
        <v>489</v>
      </c>
      <c r="D979" s="86">
        <v>489</v>
      </c>
      <c r="E979" s="86">
        <v>489</v>
      </c>
      <c r="F979" s="86">
        <v>453</v>
      </c>
      <c r="G979" s="86">
        <v>453</v>
      </c>
      <c r="H979" s="86">
        <v>471</v>
      </c>
      <c r="I979" s="86">
        <v>471</v>
      </c>
      <c r="J979" s="86">
        <v>425</v>
      </c>
      <c r="K979" s="86">
        <v>425</v>
      </c>
      <c r="L979" s="86">
        <v>446</v>
      </c>
      <c r="M979" s="86">
        <v>446</v>
      </c>
    </row>
    <row r="982" spans="1:13" ht="15" customHeight="1">
      <c r="A982" s="106" t="s">
        <v>484</v>
      </c>
      <c r="B982" s="27"/>
      <c r="C982" s="27"/>
      <c r="D982" s="27"/>
      <c r="E982" s="27"/>
      <c r="F982" s="27"/>
      <c r="G982" s="27"/>
      <c r="H982" s="27"/>
      <c r="I982" s="27"/>
      <c r="J982" s="27"/>
      <c r="K982" s="27"/>
      <c r="L982" s="27"/>
      <c r="M982" s="27"/>
    </row>
    <row r="983" spans="1:13" ht="15" customHeight="1">
      <c r="A983" s="3" t="s">
        <v>69</v>
      </c>
      <c r="B983" s="12">
        <v>193539</v>
      </c>
      <c r="C983" s="12">
        <v>177955</v>
      </c>
      <c r="D983" s="12">
        <v>155239</v>
      </c>
      <c r="E983" s="12">
        <v>164490</v>
      </c>
      <c r="F983" s="12">
        <v>150589</v>
      </c>
      <c r="G983" s="12">
        <v>158842</v>
      </c>
      <c r="H983" s="12">
        <v>146761</v>
      </c>
      <c r="I983" s="12">
        <v>146620</v>
      </c>
      <c r="J983" s="12">
        <v>144687</v>
      </c>
      <c r="K983" s="12">
        <v>137112</v>
      </c>
      <c r="L983" s="12">
        <v>121251</v>
      </c>
      <c r="M983" s="12">
        <v>117221</v>
      </c>
    </row>
    <row r="984" spans="1:13" ht="15" customHeight="1">
      <c r="A984" s="104"/>
      <c r="B984" s="50"/>
      <c r="C984" s="50"/>
      <c r="D984" s="50"/>
      <c r="E984" s="50"/>
      <c r="F984" s="50"/>
      <c r="G984" s="50"/>
      <c r="H984" s="50"/>
      <c r="I984" s="50"/>
      <c r="J984" s="50"/>
      <c r="K984" s="50"/>
      <c r="L984" s="50"/>
      <c r="M984" s="50"/>
    </row>
    <row r="985" spans="1:13" ht="15" customHeight="1">
      <c r="A985" s="104"/>
      <c r="B985" s="50"/>
      <c r="C985" s="50"/>
      <c r="D985" s="50"/>
      <c r="E985" s="50"/>
      <c r="F985" s="50"/>
      <c r="G985" s="50"/>
      <c r="H985" s="50"/>
      <c r="I985" s="50"/>
      <c r="J985" s="50"/>
      <c r="K985" s="50"/>
      <c r="L985" s="50"/>
      <c r="M985" s="50"/>
    </row>
    <row r="986" spans="1:13" ht="15" customHeight="1">
      <c r="A986" s="106" t="s">
        <v>436</v>
      </c>
      <c r="B986" s="27"/>
      <c r="C986" s="27"/>
      <c r="D986" s="27"/>
      <c r="E986" s="27"/>
      <c r="F986" s="27"/>
      <c r="G986" s="27"/>
      <c r="H986" s="27"/>
      <c r="I986" s="27"/>
      <c r="J986" s="27"/>
      <c r="K986" s="27"/>
      <c r="L986" s="27"/>
      <c r="M986" s="27"/>
    </row>
    <row r="987" spans="1:13" ht="15" customHeight="1">
      <c r="A987" s="103" t="s">
        <v>440</v>
      </c>
      <c r="B987" s="87">
        <v>1</v>
      </c>
      <c r="C987" s="87">
        <v>1</v>
      </c>
      <c r="D987" s="87">
        <v>1</v>
      </c>
      <c r="E987" s="87">
        <v>1</v>
      </c>
      <c r="F987" s="87">
        <v>1</v>
      </c>
      <c r="G987" s="87">
        <v>1</v>
      </c>
      <c r="H987" s="87">
        <v>1</v>
      </c>
      <c r="I987" s="87">
        <v>1</v>
      </c>
      <c r="J987" s="87">
        <v>1</v>
      </c>
      <c r="K987" s="87">
        <v>1</v>
      </c>
      <c r="L987" s="87">
        <v>1</v>
      </c>
      <c r="M987" s="87">
        <v>1</v>
      </c>
    </row>
    <row r="988" spans="1:13" ht="15" customHeight="1">
      <c r="A988" s="103" t="s">
        <v>69</v>
      </c>
      <c r="B988" s="86">
        <v>0</v>
      </c>
      <c r="C988" s="86">
        <v>0</v>
      </c>
      <c r="D988" s="86">
        <v>0</v>
      </c>
      <c r="E988" s="86">
        <v>0</v>
      </c>
      <c r="F988" s="86">
        <v>0</v>
      </c>
      <c r="G988" s="86">
        <v>0</v>
      </c>
      <c r="H988" s="86">
        <v>0</v>
      </c>
      <c r="I988" s="86">
        <v>0</v>
      </c>
      <c r="J988" s="86">
        <v>0</v>
      </c>
      <c r="K988" s="86">
        <v>0</v>
      </c>
      <c r="L988" s="86">
        <v>0</v>
      </c>
      <c r="M988" s="86">
        <v>0</v>
      </c>
    </row>
    <row r="989" spans="1:13" ht="15" customHeight="1">
      <c r="A989" s="103"/>
      <c r="B989" s="86"/>
      <c r="C989" s="86"/>
      <c r="D989" s="86"/>
      <c r="E989" s="86"/>
      <c r="F989" s="86"/>
      <c r="G989" s="86"/>
      <c r="H989" s="86"/>
      <c r="I989" s="86"/>
      <c r="J989" s="86"/>
      <c r="K989" s="86"/>
      <c r="L989" s="86"/>
      <c r="M989" s="86"/>
    </row>
    <row r="991" spans="1:13" ht="15" customHeight="1">
      <c r="A991" s="106" t="s">
        <v>432</v>
      </c>
      <c r="B991" s="27"/>
      <c r="C991" s="27"/>
      <c r="D991" s="27"/>
      <c r="E991" s="27"/>
      <c r="F991" s="27"/>
      <c r="G991" s="27"/>
      <c r="H991" s="27"/>
      <c r="I991" s="27"/>
      <c r="J991" s="27"/>
      <c r="K991" s="27"/>
      <c r="L991" s="27"/>
      <c r="M991" s="27"/>
    </row>
    <row r="992" spans="1:13" ht="15" customHeight="1">
      <c r="A992" s="103" t="s">
        <v>440</v>
      </c>
      <c r="B992" s="87">
        <v>1</v>
      </c>
      <c r="C992" s="87">
        <v>1</v>
      </c>
      <c r="D992" s="87">
        <v>1</v>
      </c>
      <c r="E992" s="87">
        <v>1</v>
      </c>
      <c r="F992" s="87">
        <v>1</v>
      </c>
      <c r="G992" s="87">
        <v>1</v>
      </c>
      <c r="H992" s="87">
        <v>1</v>
      </c>
      <c r="I992" s="87">
        <v>1</v>
      </c>
      <c r="J992" s="87">
        <v>1</v>
      </c>
      <c r="K992" s="87">
        <v>1</v>
      </c>
      <c r="L992" s="87">
        <v>1</v>
      </c>
      <c r="M992" s="87">
        <v>1</v>
      </c>
    </row>
    <row r="993" spans="1:13" ht="15" customHeight="1">
      <c r="A993" s="103" t="s">
        <v>69</v>
      </c>
      <c r="B993" s="86">
        <v>0</v>
      </c>
      <c r="C993" s="86">
        <v>0</v>
      </c>
      <c r="D993" s="86">
        <v>0</v>
      </c>
      <c r="E993" s="86">
        <v>0</v>
      </c>
      <c r="F993" s="86">
        <v>0</v>
      </c>
      <c r="G993" s="86">
        <v>0</v>
      </c>
      <c r="H993" s="86">
        <v>0</v>
      </c>
      <c r="I993" s="86">
        <v>0</v>
      </c>
      <c r="J993" s="86">
        <v>0</v>
      </c>
      <c r="K993" s="86">
        <v>0</v>
      </c>
      <c r="L993" s="86">
        <v>0</v>
      </c>
      <c r="M993" s="86">
        <v>0</v>
      </c>
    </row>
    <row r="996" spans="1:13" ht="15" customHeight="1">
      <c r="A996" s="106" t="s">
        <v>339</v>
      </c>
      <c r="B996" s="27"/>
      <c r="C996" s="27"/>
      <c r="D996" s="27"/>
      <c r="E996" s="27"/>
      <c r="F996" s="27"/>
      <c r="G996" s="27"/>
      <c r="H996" s="27"/>
      <c r="I996" s="27"/>
      <c r="J996" s="27"/>
      <c r="K996" s="27"/>
      <c r="L996" s="27"/>
      <c r="M996" s="27"/>
    </row>
    <row r="997" spans="1:13" ht="15" customHeight="1">
      <c r="A997" s="102" t="s">
        <v>330</v>
      </c>
      <c r="B997" s="52">
        <v>1</v>
      </c>
      <c r="C997" s="52">
        <v>1</v>
      </c>
      <c r="D997" s="52">
        <v>1</v>
      </c>
      <c r="E997" s="52">
        <v>1</v>
      </c>
      <c r="F997" s="52">
        <v>1</v>
      </c>
      <c r="G997" s="52">
        <v>1</v>
      </c>
      <c r="H997" s="52">
        <v>1</v>
      </c>
      <c r="I997" s="52">
        <v>1</v>
      </c>
      <c r="J997" s="52">
        <v>1</v>
      </c>
      <c r="K997" s="52">
        <v>1</v>
      </c>
      <c r="L997" s="52">
        <v>1</v>
      </c>
      <c r="M997" s="52">
        <v>1</v>
      </c>
    </row>
    <row r="998" spans="1:13" ht="15" customHeight="1">
      <c r="A998" s="103" t="s">
        <v>69</v>
      </c>
      <c r="B998" s="55">
        <v>4711</v>
      </c>
      <c r="C998" s="55">
        <v>4629</v>
      </c>
      <c r="D998" s="55">
        <v>4616</v>
      </c>
      <c r="E998" s="55">
        <v>2374</v>
      </c>
      <c r="F998" s="55">
        <v>2055</v>
      </c>
      <c r="G998" s="55">
        <v>2022</v>
      </c>
      <c r="H998" s="55">
        <v>1577</v>
      </c>
      <c r="I998" s="55">
        <v>1522</v>
      </c>
      <c r="J998" s="55">
        <v>1400</v>
      </c>
      <c r="K998" s="55">
        <v>1381</v>
      </c>
      <c r="L998" s="55">
        <v>1135</v>
      </c>
      <c r="M998" s="55">
        <v>1132</v>
      </c>
    </row>
    <row r="999" spans="1:13" ht="15" customHeight="1">
      <c r="A999" s="103"/>
      <c r="B999" s="55"/>
      <c r="C999" s="55"/>
      <c r="D999" s="55"/>
      <c r="E999" s="55"/>
      <c r="F999" s="55"/>
      <c r="G999" s="55"/>
      <c r="H999" s="55"/>
      <c r="I999" s="55"/>
      <c r="J999" s="55"/>
      <c r="K999" s="55"/>
      <c r="L999" s="55"/>
      <c r="M999" s="55"/>
    </row>
  </sheetData>
  <dataValidations count="7">
    <dataValidation type="list" allowBlank="1" showInputMessage="1" showErrorMessage="1" sqref="B968:M968 B935:M935 B952:M952 B919:M919 B9:M9 B803:M803 B799:M799 B797:M797 B782:M782">
      <formula1>"Yes, No"</formula1>
    </dataValidation>
    <dataValidation type="list" allowBlank="1" showInputMessage="1" showErrorMessage="1" sqref="B785:M786">
      <formula1>"1,2,3,4"</formula1>
    </dataValidation>
    <dataValidation type="list" allowBlank="1" showInputMessage="1" showErrorMessage="1" sqref="B789:M789">
      <formula1>"1,2"</formula1>
    </dataValidation>
    <dataValidation type="list" allowBlank="1" showInputMessage="1" showErrorMessage="1" sqref="B778:M779">
      <formula1>"1,2,3,4,5,6,7,8,9,10,Forever"</formula1>
    </dataValidation>
    <dataValidation type="list" allowBlank="1" showInputMessage="1" showErrorMessage="1" sqref="B16:M16">
      <formula1>$A$752:$A$754</formula1>
    </dataValidation>
    <dataValidation type="list" allowBlank="1" showInputMessage="1" showErrorMessage="1" sqref="B900:M900">
      <formula1>"0,1,2"</formula1>
    </dataValidation>
    <dataValidation type="list" allowBlank="1" showInputMessage="1" showErrorMessage="1" sqref="B17:M18">
      <formula1>$A$758:$A$759</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'C:\Users\brandinho\Downloads\[AppleNov2015.xls]Synthetic rating'!#REF!</xm:f>
          </x14:formula1>
          <xm:sqref>B901:M901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SPREAD</vt:lpstr>
      <vt:lpstr>CRP</vt:lpstr>
      <vt:lpstr>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2017-01-19T07:17:48Z</dcterms:created>
  <dcterms:modified xsi:type="dcterms:W3CDTF">2017-01-19T07:19:47Z</dcterms:modified>
</cp:coreProperties>
</file>